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65\"/>
    </mc:Choice>
  </mc:AlternateContent>
  <xr:revisionPtr revIDLastSave="0" documentId="13_ncr:1_{BA9B8DF5-78BB-45D2-88D8-A9ABCE47D63B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4" l="1"/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s="1"/>
  <c r="C36" i="4" l="1"/>
  <c r="H26" i="4" l="1"/>
  <c r="H29" i="4" s="1"/>
  <c r="H30" i="4" s="1"/>
  <c r="E36" i="4"/>
  <c r="F36" i="4" s="1"/>
  <c r="G36" i="4" s="1"/>
  <c r="H36" i="4" s="1"/>
  <c r="C35" i="4" l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H35" i="4" s="1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G44" i="4" l="1"/>
  <c r="H38" i="4"/>
</calcChain>
</file>

<file path=xl/sharedStrings.xml><?xml version="1.0" encoding="utf-8"?>
<sst xmlns="http://schemas.openxmlformats.org/spreadsheetml/2006/main" count="700" uniqueCount="385">
  <si>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</si>
  <si>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</si>
  <si>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</si>
  <si>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</si>
  <si>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</si>
  <si>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</si>
  <si>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</si>
  <si>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</si>
  <si>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</si>
  <si>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</si>
  <si>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</si>
  <si>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</si>
  <si>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</si>
  <si>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</si>
  <si>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</si>
  <si>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</si>
  <si>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</si>
  <si>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</si>
  <si>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</si>
  <si>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</si>
  <si>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</si>
  <si>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</si>
  <si>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</si>
  <si>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</si>
  <si>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</si>
  <si>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</si>
  <si>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</si>
  <si>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</si>
  <si>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</si>
  <si>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</si>
  <si>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</si>
  <si>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</si>
  <si>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</si>
  <si>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</si>
  <si>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</si>
  <si>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</si>
  <si>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</si>
  <si>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</si>
  <si>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</si>
  <si>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</si>
  <si>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</si>
  <si>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</si>
  <si>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</si>
  <si>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</si>
  <si>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</si>
  <si>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</si>
  <si>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</si>
  <si>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</si>
  <si>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</si>
  <si>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</si>
  <si>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</si>
  <si>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</si>
  <si>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</si>
  <si>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</si>
  <si>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</si>
  <si>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</si>
  <si>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</si>
  <si>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</si>
  <si>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</si>
  <si>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</si>
  <si>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</si>
  <si>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</si>
  <si>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</si>
  <si>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</si>
  <si>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</si>
  <si>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</si>
  <si>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</si>
  <si>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</si>
  <si>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</si>
  <si>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</si>
  <si>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</si>
  <si>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</si>
  <si>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</si>
  <si>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</si>
  <si>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</si>
  <si>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</si>
  <si>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</si>
  <si>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</si>
  <si>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</si>
  <si>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</si>
  <si>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</si>
  <si>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</si>
  <si>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</si>
  <si>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</si>
  <si>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</si>
  <si>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</si>
  <si>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</si>
  <si>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</si>
  <si>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</si>
  <si>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</si>
  <si>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</si>
  <si>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</si>
  <si>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</si>
  <si>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</si>
  <si>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</si>
  <si>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</si>
  <si>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</si>
  <si>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</si>
  <si>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</si>
  <si>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</si>
  <si>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</si>
  <si>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</si>
  <si>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</si>
  <si>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</si>
  <si>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</si>
  <si>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</si>
  <si>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</si>
  <si>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</si>
  <si>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</si>
  <si>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</si>
  <si>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</si>
  <si>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</si>
  <si>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</si>
  <si>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</si>
  <si>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</si>
  <si>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</si>
  <si>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</si>
  <si>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</si>
  <si>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</si>
  <si>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</si>
  <si>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</si>
  <si>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</si>
  <si>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</si>
  <si>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</si>
  <si>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</si>
  <si>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</si>
  <si>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</si>
  <si>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</si>
  <si>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</si>
  <si>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</si>
  <si>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</si>
  <si>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</si>
  <si>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</si>
  <si>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</si>
  <si>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</si>
  <si>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</si>
  <si>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</si>
  <si>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</si>
  <si>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</si>
  <si>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</si>
  <si>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</si>
  <si>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</si>
  <si>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</si>
  <si>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</si>
  <si>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</si>
  <si>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</si>
  <si>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</si>
  <si>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</si>
  <si>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</si>
  <si>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</si>
  <si>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</si>
  <si>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</si>
  <si>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</si>
  <si>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</si>
  <si>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</si>
  <si>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</si>
  <si>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</si>
  <si>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</si>
  <si>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</si>
  <si>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</si>
  <si>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</si>
  <si>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</si>
  <si>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</si>
  <si>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</si>
  <si>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</si>
  <si>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</si>
  <si>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</si>
  <si>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</si>
  <si>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</si>
  <si>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</si>
  <si>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</si>
  <si>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</si>
  <si>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</si>
  <si>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</si>
  <si>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</si>
  <si>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</si>
  <si>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</si>
  <si>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</si>
  <si>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</si>
  <si>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</si>
  <si>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</si>
  <si>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</si>
  <si>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</si>
  <si>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</si>
  <si>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</si>
  <si>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</si>
  <si>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</si>
  <si>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</si>
  <si>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</si>
  <si>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</si>
  <si>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</si>
  <si>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</si>
  <si>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</si>
  <si>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</si>
  <si>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</si>
  <si>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</si>
  <si>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</si>
  <si>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</si>
  <si>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</si>
  <si>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</si>
  <si>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</si>
  <si>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</si>
  <si>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</si>
  <si>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</si>
  <si>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</si>
  <si>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</si>
  <si>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</si>
  <si>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</si>
  <si>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</si>
  <si>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</si>
  <si>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</si>
  <si>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</si>
  <si>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</si>
  <si>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</si>
  <si>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</si>
  <si>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</si>
  <si>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</si>
  <si>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</si>
  <si>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</si>
  <si>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</si>
  <si>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</si>
  <si>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</si>
  <si>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</si>
  <si>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</si>
  <si>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</si>
  <si>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</si>
  <si>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</si>
  <si>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</si>
  <si>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</si>
  <si>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</si>
  <si>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</si>
  <si>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</si>
  <si>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</si>
  <si>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</si>
  <si>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</si>
  <si>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</si>
  <si>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</si>
  <si>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</si>
  <si>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</si>
  <si>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</si>
  <si>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</si>
  <si>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</si>
  <si>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</si>
  <si>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</si>
  <si>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</si>
  <si>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</si>
  <si>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</si>
  <si>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</si>
  <si>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</si>
  <si>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</si>
  <si>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</si>
  <si>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</si>
  <si>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</si>
  <si>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</si>
  <si>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</si>
  <si>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</si>
  <si>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</si>
  <si>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</si>
  <si>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</si>
  <si>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</si>
  <si>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</si>
  <si>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</si>
  <si>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</si>
  <si>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</si>
  <si>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</si>
  <si>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</si>
  <si>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</si>
  <si>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</si>
  <si>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</si>
  <si>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</si>
  <si>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</si>
  <si>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</si>
  <si>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</si>
  <si>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</si>
  <si>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</si>
  <si>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</si>
  <si>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</si>
  <si>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</si>
  <si>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</si>
  <si>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</si>
  <si>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</si>
  <si>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</si>
  <si>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</si>
  <si>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</si>
  <si>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</si>
  <si>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</si>
  <si>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</si>
  <si>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</si>
  <si>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</si>
  <si>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</si>
  <si>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</si>
  <si>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</si>
  <si>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</si>
  <si>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</si>
  <si>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</si>
  <si>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</si>
  <si>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</si>
  <si>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</si>
  <si>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</si>
  <si>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</si>
  <si>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</si>
  <si>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</si>
  <si>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</si>
  <si>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</si>
  <si>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</si>
  <si>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</si>
  <si>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</si>
  <si>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</si>
  <si>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</si>
  <si>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</si>
  <si>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</si>
  <si>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</si>
  <si>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</si>
  <si>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</si>
  <si>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</si>
  <si>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</si>
  <si>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</si>
  <si>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</si>
  <si>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</si>
  <si>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</si>
  <si>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</si>
  <si>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</si>
  <si>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</si>
  <si>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</si>
  <si>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</si>
  <si>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</si>
  <si>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</si>
  <si>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</si>
  <si>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</si>
  <si>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</si>
  <si>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</si>
  <si>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</si>
  <si>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</si>
  <si>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</si>
  <si>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</si>
  <si>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</si>
  <si>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</si>
  <si>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</si>
  <si>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</si>
  <si>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</si>
  <si>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</si>
  <si>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</si>
  <si>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</si>
  <si>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</si>
  <si>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</si>
  <si>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</si>
  <si>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</si>
  <si>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</si>
  <si>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</si>
  <si>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</si>
  <si>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</si>
  <si>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</si>
  <si>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</si>
  <si>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</si>
  <si>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</si>
  <si>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</si>
  <si>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</si>
  <si>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</si>
  <si>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</si>
  <si>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</si>
  <si>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</si>
  <si>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</si>
  <si>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</si>
  <si>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</si>
  <si>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</si>
  <si>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</si>
  <si>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</si>
  <si>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</si>
  <si>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</si>
  <si>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</si>
  <si>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</si>
  <si>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</si>
  <si>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</si>
  <si>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</si>
  <si>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</si>
  <si>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</si>
  <si>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</si>
  <si>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</si>
  <si>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га</t>
  </si>
  <si>
    <t>Гатч, Стр-во реклоузера на ВЛ 6кВ Ф-4 от ТП-10 до ТП-25 (инв. №100012699) в г.п. Тайцы Гатчинского района ЛО (21-1-06-1-01-04-2-0165)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</si>
  <si>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</si>
  <si>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</si>
  <si>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</si>
  <si>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K_21-1-06-1-01-04-2-0165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</si>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</sst>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9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6.7109375" style="64" customWidth="1"/>
    <col min="2" max="2" width="60.42578125" style="65" customWidth="1"/>
    <col min="3" max="3" width="12.140625" style="65" customWidth="1"/>
    <col min="4" max="4" width="10.5703125" style="65" customWidth="1"/>
    <col min="5" max="5" width="14.28515625" style="65" customWidth="1"/>
    <col min="6" max="6" width="14.42578125" style="65" customWidth="1"/>
    <col min="7" max="7" width="17.85546875" style="65" customWidth="1"/>
    <col min="8" max="8" width="17.5703125" style="65" customWidth="1"/>
    <col min="9" max="9" width="13.5703125" style="65" hidden="1" customWidth="1"/>
    <col min="10" max="10" width="0" style="65" hidden="1" customWidth="1"/>
    <col min="11" max="11" width="14.140625" style="65" hidden="1" customWidth="1"/>
    <col min="12" max="12" width="10.28515625" style="65" hidden="1" customWidth="1"/>
    <col min="13" max="14" width="0" style="65" hidden="1" customWidth="1"/>
    <col min="15" max="15" width="15.28515625" style="65" hidden="1" customWidth="1"/>
    <col min="16" max="19" width="0" style="65" hidden="1" customWidth="1"/>
    <col min="20" max="16384" width="9.140625" style="65"/>
  </cols>
  <sheetData>
    <row r="1" spans="1:16" x14ac:dyDescent="0.25">
      <c r="H1" s="7" t="s">
        <v>37</v>
      </c>
    </row>
    <row r="3" spans="1:16" x14ac:dyDescent="0.25">
      <c r="A3" s="66" t="s">
        <v>19</v>
      </c>
    </row>
    <row r="5" spans="1:16" ht="31.5" customHeight="1" x14ac:dyDescent="0.25">
      <c r="A5" s="113" t="s">
        <v>379</v>
      </c>
      <c r="B5" s="114"/>
      <c r="C5" s="114"/>
      <c r="D5" s="114"/>
      <c r="E5" s="114"/>
      <c r="F5" s="114"/>
    </row>
    <row r="7" spans="1:16" ht="21" customHeight="1" x14ac:dyDescent="0.25">
      <c r="A7" s="67" t="s">
        <v>8</v>
      </c>
      <c r="F7" s="115" t="s">
        <v>383</v>
      </c>
      <c r="G7" s="115"/>
      <c r="H7" s="115"/>
    </row>
    <row r="8" spans="1:16" x14ac:dyDescent="0.25">
      <c r="A8" s="68"/>
    </row>
    <row r="9" spans="1:16" x14ac:dyDescent="0.25">
      <c r="A9" s="67" t="s">
        <v>15</v>
      </c>
      <c r="F9" s="115" t="s">
        <v>334</v>
      </c>
      <c r="G9" s="115"/>
      <c r="H9" s="115"/>
    </row>
    <row r="10" spans="1:16" x14ac:dyDescent="0.25">
      <c r="A10" s="68"/>
    </row>
    <row r="11" spans="1:16" x14ac:dyDescent="0.25">
      <c r="A11" s="69" t="s">
        <v>20</v>
      </c>
      <c r="B11" s="70"/>
      <c r="C11" s="70"/>
    </row>
    <row r="12" spans="1:16" x14ac:dyDescent="0.25">
      <c r="H12" s="71" t="s">
        <v>384</v>
      </c>
    </row>
    <row r="13" spans="1:16" s="64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43</v>
      </c>
      <c r="F13" s="111" t="s">
        <v>14</v>
      </c>
      <c r="G13" s="111" t="s">
        <v>27</v>
      </c>
      <c r="H13" s="111" t="s">
        <v>42</v>
      </c>
      <c r="I13" s="72"/>
      <c r="J13" s="73"/>
      <c r="K13" s="74">
        <v>7.46</v>
      </c>
    </row>
    <row r="14" spans="1:16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73"/>
      <c r="J14" s="73"/>
      <c r="K14" s="74">
        <v>6.16</v>
      </c>
      <c r="M14" s="75"/>
      <c r="N14" s="76"/>
      <c r="O14" s="57"/>
      <c r="P14" s="77"/>
    </row>
    <row r="15" spans="1:16" ht="15.75" x14ac:dyDescent="0.25">
      <c r="A15" s="78" t="s">
        <v>22</v>
      </c>
      <c r="B15" s="79" t="s">
        <v>23</v>
      </c>
      <c r="C15" s="80"/>
      <c r="D15" s="81"/>
      <c r="E15" s="81"/>
      <c r="F15" s="81"/>
      <c r="G15" s="81"/>
      <c r="H15" s="81"/>
      <c r="I15" s="82"/>
      <c r="J15" s="82"/>
      <c r="K15" s="74">
        <v>5.62</v>
      </c>
      <c r="M15" s="75"/>
      <c r="N15" s="76"/>
      <c r="O15" s="83"/>
      <c r="P15" s="84"/>
    </row>
    <row r="16" spans="1:16" ht="15.75" x14ac:dyDescent="0.25">
      <c r="A16" s="85" t="s">
        <v>356</v>
      </c>
      <c r="B16" s="86" t="s">
        <v>53</v>
      </c>
      <c r="C16" s="87" t="s">
        <v>327</v>
      </c>
      <c r="D16" s="88">
        <v>0.03</v>
      </c>
      <c r="E16" s="88">
        <f>VLOOKUP(B16,'Типовые 2 кв. 2021'!B:D,3,)</f>
        <v>366791.92499999999</v>
      </c>
      <c r="F16" s="88">
        <f>D16*E16</f>
        <v>11003.757749999999</v>
      </c>
      <c r="G16" s="89">
        <v>6.16</v>
      </c>
      <c r="H16" s="88">
        <f>F16*G16</f>
        <v>67783.14774</v>
      </c>
      <c r="J16" s="90"/>
      <c r="K16" s="90"/>
      <c r="M16" s="75"/>
      <c r="N16" s="76"/>
      <c r="O16" s="83"/>
      <c r="P16" s="84"/>
    </row>
    <row r="17" spans="1:16" ht="15.75" x14ac:dyDescent="0.25">
      <c r="A17" s="85" t="s">
        <v>354</v>
      </c>
      <c r="B17" s="86" t="s">
        <v>139</v>
      </c>
      <c r="C17" s="87" t="s">
        <v>353</v>
      </c>
      <c r="D17" s="88">
        <v>2</v>
      </c>
      <c r="E17" s="88">
        <f>VLOOKUP(B17,'Типовые 2 кв. 2021'!B:D,3,)</f>
        <v>17188.408333333333</v>
      </c>
      <c r="F17" s="88">
        <f>D17*E17</f>
        <v>34376.816666666666</v>
      </c>
      <c r="G17" s="89">
        <v>6.16</v>
      </c>
      <c r="H17" s="88">
        <f>F17*G17</f>
        <v>211761.19066666666</v>
      </c>
      <c r="J17" s="90"/>
      <c r="K17" s="90"/>
      <c r="M17" s="75"/>
      <c r="N17" s="76"/>
      <c r="O17" s="83"/>
      <c r="P17" s="84"/>
    </row>
    <row r="18" spans="1:16" ht="15.75" x14ac:dyDescent="0.25">
      <c r="A18" s="85" t="s">
        <v>355</v>
      </c>
      <c r="B18" s="86" t="s">
        <v>364</v>
      </c>
      <c r="C18" s="87" t="s">
        <v>378</v>
      </c>
      <c r="D18" s="88">
        <v>0.01</v>
      </c>
      <c r="E18" s="88">
        <f>VLOOKUP(B18,'Типовые 2 кв. 2021'!B:D,3,)</f>
        <v>130851.21666666666</v>
      </c>
      <c r="F18" s="88">
        <f>D18*E18</f>
        <v>1308.5121666666666</v>
      </c>
      <c r="G18" s="89">
        <v>6.16</v>
      </c>
      <c r="H18" s="88">
        <f>F18*G18</f>
        <v>8060.4349466666663</v>
      </c>
      <c r="J18" s="90"/>
      <c r="K18" s="90"/>
      <c r="M18" s="75"/>
      <c r="N18" s="76"/>
      <c r="O18" s="83"/>
      <c r="P18" s="84"/>
    </row>
    <row r="19" spans="1:16" ht="15.75" x14ac:dyDescent="0.25">
      <c r="A19" s="85" t="s">
        <v>366</v>
      </c>
      <c r="B19" s="86" t="s">
        <v>316</v>
      </c>
      <c r="C19" s="87" t="s">
        <v>353</v>
      </c>
      <c r="D19" s="88">
        <v>1</v>
      </c>
      <c r="E19" s="88">
        <f>VLOOKUP(B19,'Типовые 2 кв. 2021'!B:D,3,)</f>
        <v>258253.78333333333</v>
      </c>
      <c r="F19" s="88">
        <f>D19*E19</f>
        <v>258253.78333333333</v>
      </c>
      <c r="G19" s="89">
        <v>6.16</v>
      </c>
      <c r="H19" s="88">
        <f>F19*G19</f>
        <v>1590843.3053333333</v>
      </c>
      <c r="J19" s="90"/>
      <c r="K19" s="90"/>
      <c r="M19" s="75"/>
      <c r="N19" s="76"/>
      <c r="O19" s="83"/>
      <c r="P19" s="84"/>
    </row>
    <row r="20" spans="1:16" ht="15.75" x14ac:dyDescent="0.25">
      <c r="A20" s="91"/>
      <c r="B20" s="92" t="s">
        <v>2</v>
      </c>
      <c r="C20" s="87" t="s">
        <v>353</v>
      </c>
      <c r="D20" s="88">
        <f>D19</f>
        <v>1</v>
      </c>
      <c r="E20" s="88">
        <f>E19-E21</f>
        <v>63364.483333333337</v>
      </c>
      <c r="F20" s="88">
        <f t="shared" ref="F20:F21" si="0">D20*E20</f>
        <v>63364.483333333337</v>
      </c>
      <c r="G20" s="89">
        <v>6.16</v>
      </c>
      <c r="H20" s="88">
        <f t="shared" ref="H20:H21" si="1">F20*G20</f>
        <v>390325.21733333339</v>
      </c>
      <c r="J20" s="90"/>
      <c r="K20" s="90"/>
      <c r="M20" s="75"/>
      <c r="N20" s="76"/>
      <c r="O20" s="83"/>
      <c r="P20" s="84"/>
    </row>
    <row r="21" spans="1:16" ht="15.75" x14ac:dyDescent="0.25">
      <c r="A21" s="91"/>
      <c r="B21" s="92" t="s">
        <v>3</v>
      </c>
      <c r="C21" s="87" t="s">
        <v>353</v>
      </c>
      <c r="D21" s="88">
        <f>D19</f>
        <v>1</v>
      </c>
      <c r="E21" s="55">
        <f>VLOOKUP(B19,'Типовые 2 кв. 2021'!B:E,4,)</f>
        <v>194889.3</v>
      </c>
      <c r="F21" s="88">
        <f t="shared" si="0"/>
        <v>194889.3</v>
      </c>
      <c r="G21" s="89">
        <v>6.16</v>
      </c>
      <c r="H21" s="88">
        <f t="shared" si="1"/>
        <v>1200518.088</v>
      </c>
      <c r="M21" s="75"/>
      <c r="N21" s="76"/>
      <c r="O21" s="83"/>
      <c r="P21" s="84"/>
    </row>
    <row r="22" spans="1:16" ht="15.75" x14ac:dyDescent="0.25">
      <c r="A22" s="85"/>
      <c r="B22" s="86"/>
      <c r="C22" s="87"/>
      <c r="D22" s="88"/>
      <c r="E22" s="88"/>
      <c r="F22" s="88"/>
      <c r="G22" s="89"/>
      <c r="H22" s="88"/>
      <c r="J22" s="90"/>
      <c r="K22" s="90"/>
      <c r="M22" s="75"/>
      <c r="N22" s="76"/>
      <c r="O22" s="83"/>
      <c r="P22" s="84"/>
    </row>
    <row r="23" spans="1:16" ht="15.75" x14ac:dyDescent="0.25">
      <c r="A23" s="91"/>
      <c r="B23" s="92"/>
      <c r="C23" s="87"/>
      <c r="D23" s="88"/>
      <c r="E23" s="55"/>
      <c r="F23" s="88"/>
      <c r="G23" s="89"/>
      <c r="H23" s="88"/>
      <c r="M23" s="75"/>
      <c r="N23" s="76"/>
      <c r="O23" s="83"/>
      <c r="P23" s="84"/>
    </row>
    <row r="24" spans="1:16" x14ac:dyDescent="0.25">
      <c r="A24" s="91"/>
      <c r="B24" s="80"/>
      <c r="C24" s="87"/>
      <c r="D24" s="89"/>
      <c r="E24" s="89"/>
      <c r="F24" s="89"/>
      <c r="G24" s="89"/>
      <c r="H24" s="89"/>
    </row>
    <row r="25" spans="1:16" x14ac:dyDescent="0.25">
      <c r="A25" s="91"/>
      <c r="B25" s="80"/>
      <c r="C25" s="87"/>
      <c r="D25" s="89"/>
      <c r="E25" s="89"/>
      <c r="F25" s="89"/>
      <c r="G25" s="89"/>
      <c r="H25" s="89"/>
    </row>
    <row r="26" spans="1:16" x14ac:dyDescent="0.25">
      <c r="A26" s="91"/>
      <c r="B26" s="79" t="s">
        <v>12</v>
      </c>
      <c r="C26" s="87"/>
      <c r="D26" s="89"/>
      <c r="E26" s="89"/>
      <c r="F26" s="89"/>
      <c r="G26" s="89"/>
      <c r="H26" s="89">
        <f>SUM(H27:H28)</f>
        <v>1878448.0786866667</v>
      </c>
    </row>
    <row r="27" spans="1:16" x14ac:dyDescent="0.25">
      <c r="A27" s="91"/>
      <c r="B27" s="93" t="s">
        <v>2</v>
      </c>
      <c r="C27" s="87"/>
      <c r="D27" s="89"/>
      <c r="E27" s="89"/>
      <c r="F27" s="89"/>
      <c r="G27" s="89"/>
      <c r="H27" s="89">
        <f>H16+H17+H18+H20</f>
        <v>677929.99068666669</v>
      </c>
    </row>
    <row r="28" spans="1:16" x14ac:dyDescent="0.25">
      <c r="A28" s="91"/>
      <c r="B28" s="93" t="s">
        <v>3</v>
      </c>
      <c r="C28" s="87"/>
      <c r="D28" s="89"/>
      <c r="E28" s="89"/>
      <c r="F28" s="89"/>
      <c r="G28" s="89"/>
      <c r="H28" s="89">
        <f>H21</f>
        <v>1200518.088</v>
      </c>
    </row>
    <row r="29" spans="1:16" x14ac:dyDescent="0.25">
      <c r="A29" s="78" t="s">
        <v>24</v>
      </c>
      <c r="B29" s="79" t="s">
        <v>31</v>
      </c>
      <c r="C29" s="87"/>
      <c r="D29" s="89"/>
      <c r="E29" s="89"/>
      <c r="F29" s="89"/>
      <c r="G29" s="89"/>
      <c r="H29" s="89">
        <f>H26*0.08</f>
        <v>150275.84629493335</v>
      </c>
    </row>
    <row r="30" spans="1:16" x14ac:dyDescent="0.25">
      <c r="A30" s="78" t="s">
        <v>26</v>
      </c>
      <c r="B30" s="79" t="s">
        <v>25</v>
      </c>
      <c r="C30" s="87"/>
      <c r="D30" s="89"/>
      <c r="E30" s="89"/>
      <c r="F30" s="89"/>
      <c r="G30" s="89"/>
      <c r="H30" s="89">
        <f>H29+H26</f>
        <v>2028723.9249816001</v>
      </c>
      <c r="I30" s="94">
        <f>H30-(SUM(C35:C37))</f>
        <v>0</v>
      </c>
    </row>
    <row r="31" spans="1:16" x14ac:dyDescent="0.25">
      <c r="A31" s="95"/>
      <c r="B31" s="82"/>
      <c r="C31" s="82"/>
    </row>
    <row r="32" spans="1:16" x14ac:dyDescent="0.25">
      <c r="A32" s="70" t="s">
        <v>13</v>
      </c>
      <c r="B32" s="82"/>
      <c r="C32" s="82"/>
    </row>
    <row r="33" spans="1:15" x14ac:dyDescent="0.25">
      <c r="A33" s="96"/>
      <c r="B33" s="82"/>
      <c r="C33" s="82"/>
      <c r="H33" s="71" t="s">
        <v>384</v>
      </c>
    </row>
    <row r="34" spans="1:15" ht="63.75" customHeight="1" x14ac:dyDescent="0.25">
      <c r="A34" s="97" t="s">
        <v>9</v>
      </c>
      <c r="B34" s="97" t="s">
        <v>0</v>
      </c>
      <c r="C34" s="98" t="s">
        <v>44</v>
      </c>
      <c r="D34" s="97" t="s">
        <v>40</v>
      </c>
      <c r="E34" s="97" t="s">
        <v>16</v>
      </c>
      <c r="F34" s="97" t="s">
        <v>17</v>
      </c>
      <c r="G34" s="97" t="s">
        <v>18</v>
      </c>
      <c r="H34" s="118" t="s">
        <v>377</v>
      </c>
    </row>
    <row r="35" spans="1:15" ht="15.75" x14ac:dyDescent="0.25">
      <c r="A35" s="99">
        <v>1</v>
      </c>
      <c r="B35" s="93" t="s">
        <v>1</v>
      </c>
      <c r="C35" s="100">
        <f>H29</f>
        <v>150275.84629493335</v>
      </c>
      <c r="D35" s="101">
        <f>VLOOKUP(F9,L48:M51,2,)</f>
        <v>1.0369999999999999</v>
      </c>
      <c r="E35" s="60">
        <f>C35*D35</f>
        <v>155836.05260784586</v>
      </c>
      <c r="F35" s="60">
        <f>E35*0.2</f>
        <v>31167.210521569174</v>
      </c>
      <c r="G35" s="60">
        <f>E35+F35</f>
        <v>187003.26312941505</v>
      </c>
      <c r="H35" s="102">
        <f>G35*0.1</f>
        <v>18700.326312941506</v>
      </c>
      <c r="I35" s="75"/>
      <c r="J35" s="76"/>
      <c r="K35" s="83"/>
      <c r="L35" s="103"/>
    </row>
    <row r="36" spans="1:15" ht="15.75" x14ac:dyDescent="0.25">
      <c r="A36" s="99">
        <v>2</v>
      </c>
      <c r="B36" s="93" t="s">
        <v>2</v>
      </c>
      <c r="C36" s="104">
        <f>H27</f>
        <v>677929.99068666669</v>
      </c>
      <c r="D36" s="101">
        <f>VLOOKUP(F9,L48:M51,2,)</f>
        <v>1.0369999999999999</v>
      </c>
      <c r="E36" s="60">
        <f t="shared" ref="E36:E43" si="2">C36*D36</f>
        <v>703013.40034207329</v>
      </c>
      <c r="F36" s="60">
        <f t="shared" ref="F36:F43" si="3">E36*0.2</f>
        <v>140602.68006841466</v>
      </c>
      <c r="G36" s="60">
        <f t="shared" ref="G36:G43" si="4">E36+F36</f>
        <v>843616.08041048795</v>
      </c>
      <c r="H36" s="102">
        <f>G36*0.5</f>
        <v>421808.04020524397</v>
      </c>
      <c r="I36" s="75"/>
      <c r="J36" s="76"/>
      <c r="K36" s="83"/>
      <c r="L36" s="103"/>
    </row>
    <row r="37" spans="1:15" ht="15.75" x14ac:dyDescent="0.25">
      <c r="A37" s="99">
        <v>3</v>
      </c>
      <c r="B37" s="93" t="s">
        <v>3</v>
      </c>
      <c r="C37" s="104">
        <f>H28</f>
        <v>1200518.088</v>
      </c>
      <c r="D37" s="101">
        <f>VLOOKUP(F9,L48:M51,2,)</f>
        <v>1.0369999999999999</v>
      </c>
      <c r="E37" s="60">
        <f t="shared" si="2"/>
        <v>1244937.2572559998</v>
      </c>
      <c r="F37" s="60">
        <f t="shared" si="3"/>
        <v>248987.45145119997</v>
      </c>
      <c r="G37" s="60">
        <f t="shared" si="4"/>
        <v>1493924.7087071999</v>
      </c>
      <c r="H37" s="102">
        <f>G37*0.8</f>
        <v>1195139.7669657599</v>
      </c>
      <c r="I37" s="75"/>
      <c r="J37" s="76"/>
      <c r="K37" s="83"/>
      <c r="L37" s="103"/>
    </row>
    <row r="38" spans="1:15" ht="15.75" x14ac:dyDescent="0.25">
      <c r="A38" s="99">
        <v>4</v>
      </c>
      <c r="B38" s="93" t="s">
        <v>7</v>
      </c>
      <c r="C38" s="104">
        <f>SUM(C39:C43)</f>
        <v>316480.93229712965</v>
      </c>
      <c r="D38" s="101">
        <f>VLOOKUP(F9,L48:M51,2,)</f>
        <v>1.0369999999999999</v>
      </c>
      <c r="E38" s="60">
        <f t="shared" si="2"/>
        <v>328190.7267921234</v>
      </c>
      <c r="F38" s="60">
        <f t="shared" si="3"/>
        <v>65638.145358424677</v>
      </c>
      <c r="G38" s="60">
        <f t="shared" si="4"/>
        <v>393828.87215054809</v>
      </c>
      <c r="H38" s="102">
        <f>G38</f>
        <v>393828.87215054809</v>
      </c>
      <c r="I38" s="75"/>
      <c r="J38" s="76"/>
      <c r="K38" s="83"/>
      <c r="L38" s="103"/>
    </row>
    <row r="39" spans="1:15" ht="15.75" x14ac:dyDescent="0.25">
      <c r="A39" s="85" t="s">
        <v>357</v>
      </c>
      <c r="B39" s="93" t="s">
        <v>4</v>
      </c>
      <c r="C39" s="104"/>
      <c r="D39" s="101">
        <f>VLOOKUP(F9,L48:M51,2,)</f>
        <v>1.0369999999999999</v>
      </c>
      <c r="E39" s="60">
        <f t="shared" si="2"/>
        <v>0</v>
      </c>
      <c r="F39" s="60">
        <f t="shared" si="3"/>
        <v>0</v>
      </c>
      <c r="G39" s="60">
        <f t="shared" si="4"/>
        <v>0</v>
      </c>
      <c r="H39" s="102"/>
      <c r="I39" s="105">
        <v>9.7000000000000003E-3</v>
      </c>
      <c r="J39" s="76"/>
      <c r="K39" s="83"/>
      <c r="L39" s="103"/>
    </row>
    <row r="40" spans="1:15" ht="15.75" x14ac:dyDescent="0.25">
      <c r="A40" s="85" t="s">
        <v>358</v>
      </c>
      <c r="B40" s="106" t="s">
        <v>38</v>
      </c>
      <c r="C40" s="104">
        <f>SUM(C35:C37)*I40</f>
        <v>43414.691994606241</v>
      </c>
      <c r="D40" s="101">
        <f>VLOOKUP(F9,L48:M51,2,)</f>
        <v>1.0369999999999999</v>
      </c>
      <c r="E40" s="60">
        <f t="shared" si="2"/>
        <v>45021.03559840667</v>
      </c>
      <c r="F40" s="60">
        <f t="shared" si="3"/>
        <v>9004.207119681334</v>
      </c>
      <c r="G40" s="60">
        <f t="shared" si="4"/>
        <v>54025.242718088004</v>
      </c>
      <c r="H40" s="102"/>
      <c r="I40" s="105">
        <v>2.1399999999999999E-2</v>
      </c>
      <c r="J40" s="76"/>
      <c r="K40" s="83"/>
      <c r="L40" s="103"/>
    </row>
    <row r="41" spans="1:15" ht="15.75" x14ac:dyDescent="0.25">
      <c r="A41" s="85" t="s">
        <v>359</v>
      </c>
      <c r="B41" s="106" t="s">
        <v>39</v>
      </c>
      <c r="C41" s="104">
        <f>SUM(C35:C37)*I41</f>
        <v>171224.29926844707</v>
      </c>
      <c r="D41" s="101">
        <f>VLOOKUP(F9,L48:M51,2,)</f>
        <v>1.0369999999999999</v>
      </c>
      <c r="E41" s="60">
        <f t="shared" si="2"/>
        <v>177559.59834137961</v>
      </c>
      <c r="F41" s="60">
        <f t="shared" si="3"/>
        <v>35511.919668275921</v>
      </c>
      <c r="G41" s="60">
        <f t="shared" si="4"/>
        <v>213071.51800965553</v>
      </c>
      <c r="H41" s="102"/>
      <c r="I41" s="105">
        <v>8.4400000000000003E-2</v>
      </c>
      <c r="J41" s="76"/>
      <c r="K41" s="83"/>
      <c r="L41" s="103"/>
    </row>
    <row r="42" spans="1:15" ht="15.75" x14ac:dyDescent="0.25">
      <c r="A42" s="85" t="s">
        <v>360</v>
      </c>
      <c r="B42" s="93" t="s">
        <v>6</v>
      </c>
      <c r="C42" s="104">
        <f>SUM(C35:C37)*I42</f>
        <v>57818.631861975606</v>
      </c>
      <c r="D42" s="101">
        <f>VLOOKUP(F9,L48:M51,2,)</f>
        <v>1.0369999999999999</v>
      </c>
      <c r="E42" s="60">
        <f t="shared" si="2"/>
        <v>59957.921240868702</v>
      </c>
      <c r="F42" s="60">
        <f t="shared" si="3"/>
        <v>11991.584248173742</v>
      </c>
      <c r="G42" s="60">
        <f t="shared" si="4"/>
        <v>71949.505489042436</v>
      </c>
      <c r="H42" s="102"/>
      <c r="I42" s="105">
        <v>2.8500000000000001E-2</v>
      </c>
      <c r="J42" s="76"/>
      <c r="K42" s="83"/>
      <c r="L42" s="103"/>
    </row>
    <row r="43" spans="1:15" x14ac:dyDescent="0.25">
      <c r="A43" s="85" t="s">
        <v>361</v>
      </c>
      <c r="B43" s="93" t="s">
        <v>5</v>
      </c>
      <c r="C43" s="104">
        <f>SUM(C35:C37)*I43</f>
        <v>44023.309172100722</v>
      </c>
      <c r="D43" s="101">
        <f>VLOOKUP(F9,L48:M51,2,)</f>
        <v>1.0369999999999999</v>
      </c>
      <c r="E43" s="60">
        <f t="shared" si="2"/>
        <v>45652.171611468446</v>
      </c>
      <c r="F43" s="60">
        <f t="shared" si="3"/>
        <v>9130.4343222936895</v>
      </c>
      <c r="G43" s="60">
        <f t="shared" si="4"/>
        <v>54782.605933762134</v>
      </c>
      <c r="H43" s="102"/>
      <c r="I43" s="107">
        <v>2.1700000000000001E-2</v>
      </c>
    </row>
    <row r="44" spans="1:15" x14ac:dyDescent="0.25">
      <c r="A44" s="91"/>
      <c r="B44" s="108" t="s">
        <v>362</v>
      </c>
      <c r="C44" s="104">
        <f>SUM(C35:C38)</f>
        <v>2345204.8572787298</v>
      </c>
      <c r="D44" s="101">
        <f>VLOOKUP(F9,L48:M51,2,)</f>
        <v>1.0369999999999999</v>
      </c>
      <c r="E44" s="60">
        <f>SUM(E35:E38)</f>
        <v>2431977.4369980423</v>
      </c>
      <c r="F44" s="60">
        <f>SUM(F35:F38)</f>
        <v>486395.48739960854</v>
      </c>
      <c r="G44" s="60">
        <f>SUM(G35:G38)</f>
        <v>2918372.9243976511</v>
      </c>
      <c r="H44" s="102">
        <v>2029477</v>
      </c>
    </row>
    <row r="46" spans="1:15" s="82" customFormat="1" ht="12.75" x14ac:dyDescent="0.2">
      <c r="A46" s="3" t="s">
        <v>28</v>
      </c>
      <c r="B46" s="3"/>
      <c r="C46" s="2"/>
      <c r="D46" s="2"/>
      <c r="E46" s="2"/>
    </row>
    <row r="47" spans="1:15" s="73" customFormat="1" ht="67.5" customHeight="1" x14ac:dyDescent="0.25">
      <c r="A47" s="4" t="s">
        <v>29</v>
      </c>
      <c r="B47" s="110" t="s">
        <v>380</v>
      </c>
      <c r="C47" s="110"/>
      <c r="D47" s="110"/>
      <c r="E47" s="110"/>
      <c r="F47" s="110"/>
      <c r="G47" s="110"/>
    </row>
    <row r="48" spans="1:15" s="73" customFormat="1" ht="40.5" customHeight="1" x14ac:dyDescent="0.25">
      <c r="A48" s="4" t="s">
        <v>30</v>
      </c>
      <c r="B48" s="110" t="s">
        <v>363</v>
      </c>
      <c r="C48" s="110"/>
      <c r="D48" s="110"/>
      <c r="E48" s="110"/>
      <c r="F48" s="110"/>
      <c r="G48" s="110"/>
      <c r="H48" s="72"/>
      <c r="I48" s="72" t="s">
        <v>371</v>
      </c>
      <c r="J48" s="73">
        <v>7.46</v>
      </c>
      <c r="L48" s="61" t="s">
        <v>334</v>
      </c>
      <c r="M48" s="62">
        <v>1.0369999999999999</v>
      </c>
      <c r="N48" s="61"/>
      <c r="O48" s="61"/>
    </row>
    <row r="49" spans="1:15" s="73" customFormat="1" ht="28.5" customHeight="1" x14ac:dyDescent="0.25">
      <c r="A49" s="4" t="s">
        <v>32</v>
      </c>
      <c r="B49" s="110" t="s">
        <v>33</v>
      </c>
      <c r="C49" s="110"/>
      <c r="D49" s="110"/>
      <c r="E49" s="110"/>
      <c r="F49" s="110"/>
      <c r="G49" s="110"/>
      <c r="I49" s="73" t="s">
        <v>369</v>
      </c>
      <c r="J49" s="73">
        <v>5.62</v>
      </c>
      <c r="L49" s="61" t="s">
        <v>335</v>
      </c>
      <c r="M49" s="62">
        <f>1.037*1.038</f>
        <v>1.076406</v>
      </c>
      <c r="N49" s="63"/>
      <c r="O49" s="63"/>
    </row>
    <row r="50" spans="1:15" s="82" customFormat="1" ht="16.5" customHeight="1" x14ac:dyDescent="0.2">
      <c r="A50" s="4" t="s">
        <v>34</v>
      </c>
      <c r="B50" s="5" t="s">
        <v>381</v>
      </c>
      <c r="C50" s="5"/>
      <c r="D50" s="2"/>
      <c r="E50" s="2"/>
      <c r="I50" s="82" t="s">
        <v>368</v>
      </c>
      <c r="J50" s="82">
        <v>6.16</v>
      </c>
      <c r="L50" s="61" t="s">
        <v>336</v>
      </c>
      <c r="M50" s="62">
        <f>1.037*1.038*1.038</f>
        <v>1.117309428</v>
      </c>
      <c r="N50" s="109"/>
      <c r="O50" s="109"/>
    </row>
    <row r="51" spans="1:15" s="82" customFormat="1" ht="15.75" customHeight="1" x14ac:dyDescent="0.2">
      <c r="A51" s="6" t="s">
        <v>35</v>
      </c>
      <c r="B51" s="5" t="s">
        <v>382</v>
      </c>
      <c r="C51" s="5"/>
      <c r="D51" s="2"/>
      <c r="E51" s="2"/>
      <c r="L51" s="61" t="s">
        <v>337</v>
      </c>
      <c r="M51" s="62">
        <f>1.037*1.038*1.038*1.038</f>
        <v>1.159767186264</v>
      </c>
      <c r="N51" s="109"/>
      <c r="O51" s="109"/>
    </row>
    <row r="52" spans="1:15" s="82" customFormat="1" ht="18.75" customHeight="1" x14ac:dyDescent="0.25">
      <c r="A52" s="6" t="s">
        <v>36</v>
      </c>
      <c r="B52" s="5" t="s">
        <v>41</v>
      </c>
      <c r="C52" s="5"/>
      <c r="D52" s="2"/>
      <c r="E52" s="2"/>
      <c r="L52" s="61"/>
      <c r="M52" s="63"/>
      <c r="N52" s="109"/>
      <c r="O52" s="109"/>
    </row>
    <row r="53" spans="1:15" s="82" customFormat="1" ht="12.75" x14ac:dyDescent="0.2">
      <c r="A53" s="95"/>
    </row>
    <row r="54" spans="1:15" x14ac:dyDescent="0.25">
      <c r="B54" s="73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21" xr:uid="{00000000-0002-0000-0000-000000000000}">
      <formula1>$K$13:$K$15</formula1>
    </dataValidation>
    <dataValidation type="list" allowBlank="1" showInputMessage="1" showErrorMessage="1" sqref="G22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6" t="s">
        <v>46</v>
      </c>
      <c r="C3" s="116"/>
      <c r="D3" s="116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7"/>
      <c r="D6" s="117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367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368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368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368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368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368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368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368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368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368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368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368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368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368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368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368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368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368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368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368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368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368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368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368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368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368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368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368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368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368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368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368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368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368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368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368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368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368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368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368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368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368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368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368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368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368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368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368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368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368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368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368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368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368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368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368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368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368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368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368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368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368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368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368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368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368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368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368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368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368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368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368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368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368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368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368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368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368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368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368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368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368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368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368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368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368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368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368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368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368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369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369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369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369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369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369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369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369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369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369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369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369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369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369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369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369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369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369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369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369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369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369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369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369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369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369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369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369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369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369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369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369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369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369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369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369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369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369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369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9" t="s">
        <v>369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369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369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369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369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369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369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369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369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369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369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369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369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369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369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369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369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369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369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369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369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369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369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369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369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369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369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369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369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369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369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369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369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369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369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369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369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369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369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369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369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369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369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369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369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369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369</v>
      </c>
    </row>
    <row r="183" spans="1:6" x14ac:dyDescent="0.25">
      <c r="A183" s="36">
        <v>176</v>
      </c>
      <c r="B183" s="41" t="s">
        <v>376</v>
      </c>
      <c r="C183" s="42">
        <v>931769.18</v>
      </c>
      <c r="D183" s="40">
        <f t="shared" si="2"/>
        <v>776474.31666666677</v>
      </c>
      <c r="E183" s="40"/>
      <c r="F183" s="59" t="s">
        <v>369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9" t="s">
        <v>369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9" t="s">
        <v>369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9" t="s">
        <v>369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9" t="s">
        <v>369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9" t="s">
        <v>369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9" t="s">
        <v>369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9" t="s">
        <v>369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9" t="s">
        <v>369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9" t="s">
        <v>369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9" t="s">
        <v>369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9" t="s">
        <v>369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9" t="s">
        <v>369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9" t="s">
        <v>369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9" t="s">
        <v>369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9" t="s">
        <v>369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9" t="s">
        <v>369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9" t="s">
        <v>369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9" t="s">
        <v>369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9" t="s">
        <v>369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9" t="s">
        <v>369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9" t="s">
        <v>369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9" t="s">
        <v>369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9" t="s">
        <v>369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9" t="s">
        <v>369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9" t="s">
        <v>369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9" t="s">
        <v>369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9" t="s">
        <v>369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9" t="s">
        <v>369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9" t="s">
        <v>369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9" t="s">
        <v>369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9" t="s">
        <v>369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9" t="s">
        <v>369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9" t="s">
        <v>369</v>
      </c>
    </row>
    <row r="217" spans="1:6" x14ac:dyDescent="0.25">
      <c r="A217" s="36">
        <v>210</v>
      </c>
      <c r="B217" s="41" t="s">
        <v>372</v>
      </c>
      <c r="C217" s="42">
        <v>13602.64</v>
      </c>
      <c r="D217" s="40">
        <f t="shared" si="3"/>
        <v>11335.533333333333</v>
      </c>
      <c r="E217" s="40"/>
      <c r="F217" s="59" t="s">
        <v>369</v>
      </c>
    </row>
    <row r="218" spans="1:6" x14ac:dyDescent="0.25">
      <c r="A218" s="36">
        <v>211</v>
      </c>
      <c r="B218" s="41" t="s">
        <v>374</v>
      </c>
      <c r="C218" s="42">
        <v>59787.55</v>
      </c>
      <c r="D218" s="40">
        <f t="shared" si="3"/>
        <v>49822.958333333336</v>
      </c>
      <c r="E218" s="40"/>
      <c r="F218" s="59" t="s">
        <v>369</v>
      </c>
    </row>
    <row r="219" spans="1:6" x14ac:dyDescent="0.25">
      <c r="A219" s="36">
        <v>212</v>
      </c>
      <c r="B219" s="41" t="s">
        <v>373</v>
      </c>
      <c r="C219" s="42">
        <v>107.95</v>
      </c>
      <c r="D219" s="40">
        <f t="shared" si="3"/>
        <v>89.958333333333343</v>
      </c>
      <c r="E219" s="40"/>
      <c r="F219" s="59" t="s">
        <v>369</v>
      </c>
    </row>
    <row r="220" spans="1:6" x14ac:dyDescent="0.25">
      <c r="A220" s="36">
        <v>213</v>
      </c>
      <c r="B220" s="41" t="s">
        <v>375</v>
      </c>
      <c r="C220" s="42">
        <v>1361256.73</v>
      </c>
      <c r="D220" s="40">
        <f t="shared" si="3"/>
        <v>1134380.6083333334</v>
      </c>
      <c r="E220" s="40"/>
      <c r="F220" s="59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9" t="s">
        <v>370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9" t="s">
        <v>370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9" t="s">
        <v>370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9" t="s">
        <v>370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9" t="s">
        <v>370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9" t="s">
        <v>370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9" t="s">
        <v>370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9" t="s">
        <v>370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9" t="s">
        <v>370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9" t="s">
        <v>370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9" t="s">
        <v>370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9" t="s">
        <v>370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9" t="s">
        <v>370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9" t="s">
        <v>370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9" t="s">
        <v>370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9" t="s">
        <v>370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9" t="s">
        <v>370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9" t="s">
        <v>370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9" t="s">
        <v>370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9" t="s">
        <v>370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9" t="s">
        <v>370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9" t="s">
        <v>370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9" t="s">
        <v>370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9" t="s">
        <v>370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9" t="s">
        <v>370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9" t="s">
        <v>370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9" t="s">
        <v>370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9" t="s">
        <v>370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9" t="s">
        <v>370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9" t="s">
        <v>370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9" t="s">
        <v>370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9" t="s">
        <v>370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9" t="s">
        <v>370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9" t="s">
        <v>370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9" t="s">
        <v>370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9" t="s">
        <v>370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9" t="s">
        <v>370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9" t="s">
        <v>370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9" t="s">
        <v>370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9" t="s">
        <v>370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9" t="s">
        <v>370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9" t="s">
        <v>370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9" t="s">
        <v>370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9" t="s">
        <v>370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9" t="s">
        <v>370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9" t="s">
        <v>370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9" t="s">
        <v>370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9" t="s">
        <v>370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9" t="s">
        <v>370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9" t="s">
        <v>370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9" t="s">
        <v>370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9" t="s">
        <v>369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9" t="s">
        <v>369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9" t="s">
        <v>369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9" t="s">
        <v>368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9" t="s">
        <v>368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9" t="s">
        <v>368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9" t="s">
        <v>370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9" t="s">
        <v>370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9" t="s">
        <v>370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9" t="s">
        <v>370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9" t="s">
        <v>370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9" t="s">
        <v>370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9" t="s">
        <v>370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9" t="s">
        <v>370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9" t="s">
        <v>370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9" t="s">
        <v>370</v>
      </c>
    </row>
    <row r="288" spans="1:6" x14ac:dyDescent="0.25">
      <c r="A288" s="36">
        <v>281</v>
      </c>
      <c r="B288" s="39" t="s">
        <v>364</v>
      </c>
      <c r="C288" s="51">
        <v>157021.46</v>
      </c>
      <c r="D288" s="51">
        <f t="shared" ref="D288:D289" si="5">C288/1.2</f>
        <v>130851.21666666666</v>
      </c>
      <c r="E288" s="51"/>
      <c r="F288" s="59" t="s">
        <v>368</v>
      </c>
    </row>
    <row r="289" spans="1:6" x14ac:dyDescent="0.25">
      <c r="A289" s="36">
        <v>282</v>
      </c>
      <c r="B289" s="39" t="s">
        <v>365</v>
      </c>
      <c r="C289" s="51">
        <v>8120.62</v>
      </c>
      <c r="D289" s="51">
        <f t="shared" si="5"/>
        <v>6767.1833333333334</v>
      </c>
      <c r="E289" s="51"/>
      <c r="F289" s="59" t="s">
        <v>368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2022-03-14T12:19:23Z</dcterms:modified>
</cp:coreProperties>
</file>