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19-1-17-1-08-06-2-0817\"/>
    </mc:Choice>
  </mc:AlternateContent>
  <xr:revisionPtr revIDLastSave="0" documentId="13_ncr:1_{42A9D1A4-2E84-4089-815E-AADE4BCFB935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4" l="1"/>
  <c r="H33" i="4"/>
  <c r="H32" i="4" l="1"/>
  <c r="H34" i="4"/>
  <c r="H31" i="4"/>
  <c r="I31" i="4" s="1"/>
  <c r="I32" i="4"/>
  <c r="I33" i="4"/>
  <c r="H35" i="4"/>
  <c r="H36" i="4"/>
  <c r="H37" i="4"/>
  <c r="H38" i="4"/>
  <c r="H39" i="4"/>
  <c r="I34" i="4"/>
  <c r="H23" i="4" l="1"/>
  <c r="M47" i="4" l="1"/>
  <c r="M46" i="4"/>
  <c r="M45" i="4"/>
  <c r="D40" i="4"/>
  <c r="D39" i="4"/>
  <c r="D38" i="4"/>
  <c r="D37" i="4"/>
  <c r="D36" i="4"/>
  <c r="D35" i="4"/>
  <c r="D34" i="4"/>
  <c r="D33" i="4"/>
  <c r="D32" i="4"/>
  <c r="D31" i="4"/>
  <c r="D183" i="5" l="1"/>
  <c r="D263" i="5" l="1"/>
  <c r="D220" i="5" l="1"/>
  <c r="D289" i="5" l="1"/>
  <c r="D288" i="5"/>
  <c r="D18" i="4" l="1"/>
  <c r="D17" i="4"/>
  <c r="E18" i="4" l="1"/>
  <c r="F18" i="4" l="1"/>
  <c r="H18" i="4" s="1"/>
  <c r="H24" i="4" s="1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6" i="4" s="1"/>
  <c r="F16" i="4" s="1"/>
  <c r="H16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17" i="4" l="1"/>
  <c r="F17" i="4" s="1"/>
  <c r="H17" i="4" s="1"/>
  <c r="C20" i="6"/>
  <c r="C6" i="6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I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<sst xmlns="http://schemas.openxmlformats.org/spreadsheetml/2006/main" count="691" uniqueCount="380">
  <si>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</si>
  <si>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</si>
  <si>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</si>
  <si>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</si>
  <si>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</si>
  <si>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</si>
  <si>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</si>
  <si>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</si>
  <si>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</si>
  <si>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</si>
  <si>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</si>
  <si>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</si>
  <si>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</si>
  <si>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</si>
  <si>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</si>
  <si>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</si>
  <si>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</si>
  <si>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</si>
  <si>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</si>
  <si>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</si>
  <si>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</si>
  <si>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</si>
  <si>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</si>
  <si>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</si>
  <si>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</si>
  <si>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</si>
  <si>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</si>
  <si>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</si>
  <si>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</si>
  <si>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</si>
  <si>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</si>
  <si>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</si>
  <si>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</si>
  <si>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</si>
  <si>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</si>
  <si>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</si>
  <si>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</si>
  <si>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</si>
  <si>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</si>
  <si>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</si>
  <si>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</si>
  <si>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</si>
  <si>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</si>
  <si>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</si>
  <si>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</si>
  <si>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</si>
  <si>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</si>
  <si>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</si>
  <si>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</si>
  <si>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</si>
  <si>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</si>
  <si>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</si>
  <si>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</si>
  <si>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</si>
  <si>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</si>
  <si>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</si>
  <si>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</si>
  <si>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</si>
  <si>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</si>
  <si>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</si>
  <si>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</si>
  <si>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</si>
  <si>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</si>
  <si>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</si>
  <si>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</si>
  <si>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</si>
  <si>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</si>
  <si>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</si>
  <si>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</si>
  <si>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</si>
  <si>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</si>
  <si>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</si>
  <si>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</si>
  <si>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</si>
  <si>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</si>
  <si>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</si>
  <si>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</si>
  <si>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</si>
  <si>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</si>
  <si>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</si>
  <si>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</si>
  <si>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</si>
  <si>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</si>
  <si>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</si>
  <si>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</si>
  <si>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</si>
  <si>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</si>
  <si>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</si>
  <si>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</si>
  <si>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</si>
  <si>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</si>
  <si>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</si>
  <si>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</si>
  <si>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</si>
  <si>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</si>
  <si>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</si>
  <si>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</si>
  <si>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</si>
  <si>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</si>
  <si>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</si>
  <si>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</si>
  <si>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</si>
  <si>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</si>
  <si>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</si>
  <si>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</si>
  <si>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</si>
  <si>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</si>
  <si>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</si>
  <si>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</si>
  <si>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</si>
  <si>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</si>
  <si>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</si>
  <si>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</si>
  <si>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</si>
  <si>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</si>
  <si>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</si>
  <si>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</si>
  <si>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</si>
  <si>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</si>
  <si>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</si>
  <si>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</si>
  <si>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</si>
  <si>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</si>
  <si>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</si>
  <si>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</si>
  <si>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</si>
  <si>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</si>
  <si>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</si>
  <si>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</si>
  <si>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</si>
  <si>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</si>
  <si>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</si>
  <si>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</si>
  <si>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</si>
  <si>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</si>
  <si>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</si>
  <si>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</si>
  <si>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</si>
  <si>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</si>
  <si>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</si>
  <si>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</si>
  <si>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</si>
  <si>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</si>
  <si>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</si>
  <si>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</si>
  <si>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</si>
  <si>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</si>
  <si>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</si>
  <si>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</si>
  <si>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</si>
  <si>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</si>
  <si>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</si>
  <si>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</si>
  <si>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</si>
  <si>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</si>
  <si>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</si>
  <si>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</si>
  <si>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</si>
  <si>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</si>
  <si>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</si>
  <si>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</si>
  <si>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</si>
  <si>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</si>
  <si>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</si>
  <si>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</si>
  <si>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</si>
  <si>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</si>
  <si>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</si>
  <si>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</si>
  <si>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</si>
  <si>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</si>
  <si>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</si>
  <si>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</si>
  <si>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</si>
  <si>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</si>
  <si>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</si>
  <si>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</si>
  <si>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</si>
  <si>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</si>
  <si>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</si>
  <si>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</si>
  <si>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</si>
  <si>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</si>
  <si>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</si>
  <si>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</si>
  <si>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</si>
  <si>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</si>
  <si>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</si>
  <si>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</si>
  <si>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</si>
  <si>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</si>
  <si>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</si>
  <si>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</si>
  <si>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</si>
  <si>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</si>
  <si>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</si>
  <si>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</si>
  <si>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</si>
  <si>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</si>
  <si>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</si>
  <si>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</si>
  <si>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</si>
  <si>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</si>
  <si>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</si>
  <si>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</si>
  <si>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</si>
  <si>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</si>
  <si>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</si>
  <si>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</si>
  <si>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</si>
  <si>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</si>
  <si>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</si>
  <si>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</si>
  <si>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</si>
  <si>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</si>
  <si>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</si>
  <si>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</si>
  <si>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</si>
  <si>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</si>
  <si>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</si>
  <si>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</si>
  <si>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</si>
  <si>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</si>
  <si>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</si>
  <si>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</si>
  <si>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</si>
  <si>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</si>
  <si>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</si>
  <si>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</si>
  <si>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</si>
  <si>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</si>
  <si>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</si>
  <si>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</si>
  <si>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</si>
  <si>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</si>
  <si>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</si>
  <si>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</si>
  <si>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</si>
  <si>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</si>
  <si>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</si>
  <si>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</si>
  <si>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</si>
  <si>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</si>
  <si>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</si>
  <si>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</si>
  <si>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</si>
  <si>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</si>
  <si>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</si>
  <si>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</si>
  <si>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</si>
  <si>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</si>
  <si>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</si>
  <si>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</si>
  <si>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</si>
  <si>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</si>
  <si>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</si>
  <si>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</si>
  <si>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</si>
  <si>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</si>
  <si>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</si>
  <si>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</si>
  <si>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</si>
  <si>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</si>
  <si>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</si>
  <si>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</si>
  <si>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</si>
  <si>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</si>
  <si>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</si>
  <si>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</si>
  <si>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</si>
  <si>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</si>
  <si>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</si>
  <si>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</si>
  <si>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</si>
  <si>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</si>
  <si>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</si>
  <si>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</si>
  <si>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</si>
  <si>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</si>
  <si>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</si>
  <si>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</si>
  <si>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</si>
  <si>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</si>
  <si>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</si>
  <si>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</si>
  <si>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</si>
  <si>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</si>
  <si>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</si>
  <si>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</si>
  <si>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</si>
  <si>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</si>
  <si>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</si>
  <si>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</si>
  <si>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</si>
  <si>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</si>
  <si>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</si>
  <si>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</si>
  <si>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</si>
  <si>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</si>
  <si>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</si>
  <si>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</si>
  <si>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</si>
  <si>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</si>
  <si>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</si>
  <si>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</si>
  <si>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</si>
  <si>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</si>
  <si>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</si>
  <si>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</si>
  <si>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</si>
  <si>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</si>
  <si>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</si>
  <si>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</si>
  <si>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</si>
  <si>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</si>
  <si>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</si>
  <si>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</si>
  <si>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</si>
  <si>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</si>
  <si>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</si>
  <si>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</si>
  <si>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</si>
  <si>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</si>
  <si>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</si>
  <si>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</si>
  <si>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</si>
  <si>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</si>
  <si>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</si>
  <si>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</si>
  <si>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</si>
  <si>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</si>
  <si>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</si>
  <si>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</si>
  <si>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</si>
  <si>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</si>
  <si>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</si>
  <si>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</si>
  <si>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</si>
  <si>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</si>
  <si>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</si>
  <si>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</si>
  <si>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</si>
  <si>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</si>
  <si>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</si>
  <si>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</si>
  <si>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</si>
  <si>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</si>
  <si>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</si>
  <si>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</si>
  <si>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</si>
  <si>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</si>
  <si>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</si>
  <si>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</si>
  <si>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</si>
  <si>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</si>
  <si>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</si>
  <si>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</si>
  <si>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</si>
  <si>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</si>
  <si>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</si>
  <si>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</si>
  <si>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</si>
  <si>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</si>
  <si>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</si>
  <si>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</si>
  <si>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</si>
  <si>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</si>
  <si>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</si>
  <si>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</si>
  <si>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</si>
  <si>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</si>
  <si>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</si>
  <si>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</si>
  <si>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</si>
  <si>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K_19-1-17-1-08-06-2-0817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</si>
  <si>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</si>
  <si>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</si>
  <si>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</si>
  <si>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2БКТП-10/0,4 кВ в д. Кудрово Всеволожского района ЛО (19-1-17-1-08-06-2-0817)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</si>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</sst>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57" customWidth="1"/>
    <col min="2" max="2" width="60.42578125" style="58" customWidth="1"/>
    <col min="3" max="3" width="13.5703125" style="58" customWidth="1"/>
    <col min="4" max="4" width="10.5703125" style="58" customWidth="1"/>
    <col min="5" max="5" width="14.28515625" style="58" customWidth="1"/>
    <col min="6" max="6" width="14.42578125" style="58" customWidth="1"/>
    <col min="7" max="7" width="17.85546875" style="58" customWidth="1"/>
    <col min="8" max="8" width="17.5703125" style="58" customWidth="1"/>
    <col min="9" max="9" width="13.5703125" style="58" hidden="1" customWidth="1"/>
    <col min="10" max="10" width="0" style="58" hidden="1" customWidth="1"/>
    <col min="11" max="11" width="14.140625" style="58" hidden="1" customWidth="1"/>
    <col min="12" max="12" width="10.28515625" style="58" hidden="1" customWidth="1"/>
    <col min="13" max="14" width="0" style="58" hidden="1" customWidth="1"/>
    <col min="15" max="15" width="15.28515625" style="58" hidden="1" customWidth="1"/>
    <col min="16" max="16384" width="9.140625" style="58"/>
  </cols>
  <sheetData>
    <row r="1" spans="1:16" x14ac:dyDescent="0.25">
      <c r="H1" s="2" t="s">
        <v>37</v>
      </c>
    </row>
    <row r="3" spans="1:16" x14ac:dyDescent="0.25">
      <c r="A3" s="59" t="s">
        <v>19</v>
      </c>
    </row>
    <row r="5" spans="1:16" x14ac:dyDescent="0.25">
      <c r="A5" s="109" t="s">
        <v>378</v>
      </c>
      <c r="B5" s="109"/>
      <c r="C5" s="109"/>
      <c r="D5" s="109"/>
      <c r="E5" s="109"/>
      <c r="F5" s="109"/>
    </row>
    <row r="7" spans="1:16" ht="21" customHeight="1" x14ac:dyDescent="0.25">
      <c r="A7" s="60" t="s">
        <v>8</v>
      </c>
      <c r="F7" s="110" t="s">
        <v>374</v>
      </c>
      <c r="G7" s="110"/>
      <c r="H7" s="110"/>
    </row>
    <row r="8" spans="1:16" x14ac:dyDescent="0.25">
      <c r="A8" s="61"/>
    </row>
    <row r="9" spans="1:16" x14ac:dyDescent="0.25">
      <c r="A9" s="60" t="s">
        <v>15</v>
      </c>
      <c r="F9" s="110" t="s">
        <v>333</v>
      </c>
      <c r="G9" s="110"/>
      <c r="H9" s="110"/>
    </row>
    <row r="10" spans="1:16" x14ac:dyDescent="0.25">
      <c r="A10" s="61"/>
    </row>
    <row r="11" spans="1:16" x14ac:dyDescent="0.25">
      <c r="A11" s="62" t="s">
        <v>20</v>
      </c>
      <c r="B11" s="63"/>
      <c r="C11" s="63"/>
    </row>
    <row r="12" spans="1:16" x14ac:dyDescent="0.25">
      <c r="H12" s="64" t="s">
        <v>379</v>
      </c>
    </row>
    <row r="13" spans="1:16" s="57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65"/>
      <c r="J13" s="66"/>
      <c r="K13" s="67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66"/>
      <c r="J14" s="66"/>
      <c r="K14" s="67">
        <v>6.16</v>
      </c>
      <c r="M14" s="68"/>
      <c r="N14" s="69"/>
      <c r="O14" s="51"/>
      <c r="P14" s="70"/>
    </row>
    <row r="15" spans="1:16" ht="15.75" x14ac:dyDescent="0.25">
      <c r="A15" s="71" t="s">
        <v>22</v>
      </c>
      <c r="B15" s="72" t="s">
        <v>23</v>
      </c>
      <c r="C15" s="73"/>
      <c r="D15" s="74"/>
      <c r="E15" s="74"/>
      <c r="F15" s="74"/>
      <c r="G15" s="74"/>
      <c r="H15" s="74"/>
      <c r="I15" s="75"/>
      <c r="J15" s="75"/>
      <c r="K15" s="67">
        <v>5.62</v>
      </c>
      <c r="M15" s="68"/>
      <c r="N15" s="69"/>
      <c r="O15" s="76"/>
      <c r="P15" s="77"/>
    </row>
    <row r="16" spans="1:16" ht="15.75" x14ac:dyDescent="0.25">
      <c r="A16" s="78" t="s">
        <v>362</v>
      </c>
      <c r="B16" s="79" t="s">
        <v>270</v>
      </c>
      <c r="C16" s="80" t="s">
        <v>352</v>
      </c>
      <c r="D16" s="81">
        <v>1</v>
      </c>
      <c r="E16" s="81">
        <f>VLOOKUP(B16,'Типовые 2 кв. 2021'!B:D,3,)</f>
        <v>2711201.3000000003</v>
      </c>
      <c r="F16" s="81">
        <f>D16*E16</f>
        <v>2711201.3000000003</v>
      </c>
      <c r="G16" s="82">
        <v>7.46</v>
      </c>
      <c r="H16" s="81">
        <f>F16*G16</f>
        <v>20225561.698000003</v>
      </c>
      <c r="J16" s="83"/>
      <c r="K16" s="83"/>
      <c r="M16" s="68"/>
      <c r="N16" s="69"/>
      <c r="O16" s="76"/>
      <c r="P16" s="77"/>
    </row>
    <row r="17" spans="1:16" ht="15.75" x14ac:dyDescent="0.25">
      <c r="A17" s="84"/>
      <c r="B17" s="85" t="s">
        <v>2</v>
      </c>
      <c r="C17" s="80" t="s">
        <v>352</v>
      </c>
      <c r="D17" s="81">
        <f>D16</f>
        <v>1</v>
      </c>
      <c r="E17" s="81">
        <f>E16-E18</f>
        <v>431771.92000000039</v>
      </c>
      <c r="F17" s="81">
        <f t="shared" ref="F17:F18" si="0">D17*E17</f>
        <v>431771.92000000039</v>
      </c>
      <c r="G17" s="82">
        <v>7.46</v>
      </c>
      <c r="H17" s="81">
        <f t="shared" ref="H17:H18" si="1">F17*G17</f>
        <v>3221018.523200003</v>
      </c>
      <c r="J17" s="83"/>
      <c r="K17" s="83"/>
      <c r="M17" s="68"/>
      <c r="N17" s="69"/>
      <c r="O17" s="76"/>
      <c r="P17" s="77"/>
    </row>
    <row r="18" spans="1:16" ht="15.75" x14ac:dyDescent="0.25">
      <c r="A18" s="84"/>
      <c r="B18" s="85" t="s">
        <v>3</v>
      </c>
      <c r="C18" s="80" t="s">
        <v>352</v>
      </c>
      <c r="D18" s="81">
        <f>D16</f>
        <v>1</v>
      </c>
      <c r="E18" s="86">
        <f>VLOOKUP(B16,'Типовые 2 кв. 2021'!B:E,4,)</f>
        <v>2279429.38</v>
      </c>
      <c r="F18" s="81">
        <f t="shared" si="0"/>
        <v>2279429.38</v>
      </c>
      <c r="G18" s="82">
        <v>7.46</v>
      </c>
      <c r="H18" s="81">
        <f t="shared" si="1"/>
        <v>17004543.174799997</v>
      </c>
      <c r="M18" s="68"/>
      <c r="N18" s="69"/>
      <c r="O18" s="76"/>
      <c r="P18" s="77"/>
    </row>
    <row r="19" spans="1:16" ht="15.75" x14ac:dyDescent="0.25">
      <c r="A19" s="84"/>
      <c r="B19" s="85"/>
      <c r="C19" s="80"/>
      <c r="D19" s="81"/>
      <c r="E19" s="86"/>
      <c r="F19" s="81"/>
      <c r="G19" s="82"/>
      <c r="H19" s="81"/>
      <c r="M19" s="68"/>
      <c r="N19" s="69"/>
      <c r="O19" s="76"/>
      <c r="P19" s="77"/>
    </row>
    <row r="20" spans="1:16" x14ac:dyDescent="0.25">
      <c r="A20" s="84"/>
      <c r="B20" s="73"/>
      <c r="C20" s="80"/>
      <c r="D20" s="82"/>
      <c r="E20" s="82"/>
      <c r="F20" s="82"/>
      <c r="G20" s="82"/>
      <c r="H20" s="82"/>
    </row>
    <row r="21" spans="1:16" x14ac:dyDescent="0.25">
      <c r="A21" s="84"/>
      <c r="B21" s="73"/>
      <c r="C21" s="80"/>
      <c r="D21" s="82"/>
      <c r="E21" s="82"/>
      <c r="F21" s="82"/>
      <c r="G21" s="82"/>
      <c r="H21" s="82"/>
    </row>
    <row r="22" spans="1:16" x14ac:dyDescent="0.25">
      <c r="A22" s="84"/>
      <c r="B22" s="72" t="s">
        <v>12</v>
      </c>
      <c r="C22" s="80"/>
      <c r="D22" s="82"/>
      <c r="E22" s="82"/>
      <c r="F22" s="82"/>
      <c r="G22" s="82"/>
      <c r="H22" s="82">
        <f>SUM(H23:H24)</f>
        <v>20225561.697999999</v>
      </c>
    </row>
    <row r="23" spans="1:16" x14ac:dyDescent="0.25">
      <c r="A23" s="84"/>
      <c r="B23" s="87" t="s">
        <v>2</v>
      </c>
      <c r="C23" s="80"/>
      <c r="D23" s="82"/>
      <c r="E23" s="82"/>
      <c r="F23" s="82"/>
      <c r="G23" s="82"/>
      <c r="H23" s="82">
        <f>H17</f>
        <v>3221018.523200003</v>
      </c>
    </row>
    <row r="24" spans="1:16" x14ac:dyDescent="0.25">
      <c r="A24" s="84"/>
      <c r="B24" s="87" t="s">
        <v>3</v>
      </c>
      <c r="C24" s="80"/>
      <c r="D24" s="82"/>
      <c r="E24" s="82"/>
      <c r="F24" s="82"/>
      <c r="G24" s="82"/>
      <c r="H24" s="82">
        <f>H18</f>
        <v>17004543.174799997</v>
      </c>
    </row>
    <row r="25" spans="1:16" x14ac:dyDescent="0.25">
      <c r="A25" s="71" t="s">
        <v>24</v>
      </c>
      <c r="B25" s="72" t="s">
        <v>31</v>
      </c>
      <c r="C25" s="80"/>
      <c r="D25" s="82"/>
      <c r="E25" s="82"/>
      <c r="F25" s="82"/>
      <c r="G25" s="82"/>
      <c r="H25" s="82">
        <f>H22*0.08</f>
        <v>1618044.9358399999</v>
      </c>
    </row>
    <row r="26" spans="1:16" x14ac:dyDescent="0.25">
      <c r="A26" s="71" t="s">
        <v>26</v>
      </c>
      <c r="B26" s="72" t="s">
        <v>25</v>
      </c>
      <c r="C26" s="80"/>
      <c r="D26" s="82"/>
      <c r="E26" s="82"/>
      <c r="F26" s="82"/>
      <c r="G26" s="82"/>
      <c r="H26" s="82">
        <f>H25+H22</f>
        <v>21843606.633839998</v>
      </c>
      <c r="I26" s="88">
        <f>H26-(SUM(C31:C33))</f>
        <v>0</v>
      </c>
    </row>
    <row r="27" spans="1:16" x14ac:dyDescent="0.25">
      <c r="A27" s="89"/>
      <c r="B27" s="75"/>
      <c r="C27" s="75"/>
    </row>
    <row r="28" spans="1:16" x14ac:dyDescent="0.25">
      <c r="A28" s="63" t="s">
        <v>13</v>
      </c>
      <c r="B28" s="75"/>
      <c r="C28" s="75"/>
    </row>
    <row r="29" spans="1:16" x14ac:dyDescent="0.25">
      <c r="A29" s="90"/>
      <c r="B29" s="75"/>
      <c r="C29" s="75"/>
      <c r="H29" s="64" t="s">
        <v>379</v>
      </c>
    </row>
    <row r="30" spans="1:16" ht="63.75" customHeight="1" x14ac:dyDescent="0.25">
      <c r="A30" s="91" t="s">
        <v>9</v>
      </c>
      <c r="B30" s="91" t="s">
        <v>0</v>
      </c>
      <c r="C30" s="92" t="s">
        <v>44</v>
      </c>
      <c r="D30" s="91" t="s">
        <v>40</v>
      </c>
      <c r="E30" s="91" t="s">
        <v>16</v>
      </c>
      <c r="F30" s="91" t="s">
        <v>17</v>
      </c>
      <c r="G30" s="91" t="s">
        <v>18</v>
      </c>
      <c r="H30" s="91" t="s">
        <v>373</v>
      </c>
    </row>
    <row r="31" spans="1:16" ht="15.75" x14ac:dyDescent="0.25">
      <c r="A31" s="93">
        <v>1</v>
      </c>
      <c r="B31" s="87" t="s">
        <v>1</v>
      </c>
      <c r="C31" s="94">
        <f>H25</f>
        <v>1618044.9358399999</v>
      </c>
      <c r="D31" s="95">
        <f>VLOOKUP(F9,L44:M47,2,)</f>
        <v>1.0369999999999999</v>
      </c>
      <c r="E31" s="96">
        <f>C31*D31</f>
        <v>1677912.5984660799</v>
      </c>
      <c r="F31" s="96">
        <f>E31*0.2</f>
        <v>335582.51969321602</v>
      </c>
      <c r="G31" s="96">
        <f>E31+F31</f>
        <v>2013495.118159296</v>
      </c>
      <c r="H31" s="81">
        <f>G31*0.39</f>
        <v>785263.09608212544</v>
      </c>
      <c r="I31" s="68">
        <f>H31/1000/1.2</f>
        <v>654.38591340177129</v>
      </c>
      <c r="J31" s="69"/>
      <c r="K31" s="76"/>
      <c r="L31" s="97"/>
    </row>
    <row r="32" spans="1:16" ht="15.75" x14ac:dyDescent="0.25">
      <c r="A32" s="93">
        <v>2</v>
      </c>
      <c r="B32" s="87" t="s">
        <v>2</v>
      </c>
      <c r="C32" s="98">
        <f>H23</f>
        <v>3221018.523200003</v>
      </c>
      <c r="D32" s="95">
        <f>VLOOKUP(F9,L44:M47,2,)</f>
        <v>1.0369999999999999</v>
      </c>
      <c r="E32" s="96">
        <f t="shared" ref="E32:E39" si="2">C32*D32</f>
        <v>3340196.208558403</v>
      </c>
      <c r="F32" s="96">
        <f t="shared" ref="F32:F39" si="3">E32*0.2</f>
        <v>668039.24171168066</v>
      </c>
      <c r="G32" s="96">
        <f t="shared" ref="G32:G39" si="4">E32+F32</f>
        <v>4008235.4502700837</v>
      </c>
      <c r="H32" s="81">
        <f t="shared" ref="H32:H34" si="5">G32*0.39</f>
        <v>1563211.8256053326</v>
      </c>
      <c r="I32" s="68">
        <f t="shared" ref="I32:I34" si="6">H32/1000/1.2</f>
        <v>1302.6765213377773</v>
      </c>
      <c r="J32" s="69"/>
      <c r="K32" s="76"/>
      <c r="L32" s="97"/>
    </row>
    <row r="33" spans="1:15" ht="15.75" x14ac:dyDescent="0.25">
      <c r="A33" s="93">
        <v>3</v>
      </c>
      <c r="B33" s="87" t="s">
        <v>3</v>
      </c>
      <c r="C33" s="98">
        <f>H24</f>
        <v>17004543.174799997</v>
      </c>
      <c r="D33" s="95">
        <f>VLOOKUP(F9,L44:M47,2,)</f>
        <v>1.0369999999999999</v>
      </c>
      <c r="E33" s="96">
        <f t="shared" si="2"/>
        <v>17633711.272267595</v>
      </c>
      <c r="F33" s="96">
        <f t="shared" si="3"/>
        <v>3526742.2544535194</v>
      </c>
      <c r="G33" s="96">
        <f t="shared" si="4"/>
        <v>21160453.526721112</v>
      </c>
      <c r="H33" s="81">
        <f ca="1">G33*0.39</f>
        <v>8252576.8754212344</v>
      </c>
      <c r="I33" s="68">
        <f t="shared" si="6"/>
        <v>6877.1473961843631</v>
      </c>
      <c r="J33" s="69"/>
      <c r="K33" s="76"/>
      <c r="L33" s="97"/>
    </row>
    <row r="34" spans="1:15" ht="15.75" x14ac:dyDescent="0.25">
      <c r="A34" s="93">
        <v>4</v>
      </c>
      <c r="B34" s="87" t="s">
        <v>7</v>
      </c>
      <c r="C34" s="98">
        <f>SUM(C35:C39)</f>
        <v>3619485.6192272878</v>
      </c>
      <c r="D34" s="95">
        <f>VLOOKUP(F9,L44:M47,2,)</f>
        <v>1.0369999999999999</v>
      </c>
      <c r="E34" s="96">
        <f t="shared" si="2"/>
        <v>3753406.587138697</v>
      </c>
      <c r="F34" s="96">
        <f t="shared" si="3"/>
        <v>750681.3174277395</v>
      </c>
      <c r="G34" s="96">
        <f t="shared" si="4"/>
        <v>4504087.904566437</v>
      </c>
      <c r="H34" s="81">
        <f t="shared" si="5"/>
        <v>1756594.2827809104</v>
      </c>
      <c r="I34" s="68">
        <f t="shared" si="6"/>
        <v>1463.828568984092</v>
      </c>
      <c r="J34" s="69"/>
      <c r="K34" s="76"/>
      <c r="L34" s="97"/>
    </row>
    <row r="35" spans="1:15" ht="15.75" x14ac:dyDescent="0.25">
      <c r="A35" s="78" t="s">
        <v>353</v>
      </c>
      <c r="B35" s="87" t="s">
        <v>4</v>
      </c>
      <c r="C35" s="98">
        <f>SUM(C31:C33)*I35</f>
        <v>211882.98434824802</v>
      </c>
      <c r="D35" s="95">
        <f>VLOOKUP(F9,L44:M47,2,)</f>
        <v>1.0369999999999999</v>
      </c>
      <c r="E35" s="96">
        <f t="shared" si="2"/>
        <v>219722.65476913319</v>
      </c>
      <c r="F35" s="96">
        <f t="shared" si="3"/>
        <v>43944.530953826645</v>
      </c>
      <c r="G35" s="96">
        <f t="shared" si="4"/>
        <v>263667.18572295981</v>
      </c>
      <c r="H35" s="81">
        <f t="shared" ref="H35:H39" si="7">G35*0.39/1000</f>
        <v>102.83020243195433</v>
      </c>
      <c r="I35" s="99">
        <v>9.7000000000000003E-3</v>
      </c>
      <c r="J35" s="69"/>
      <c r="K35" s="76"/>
      <c r="L35" s="97"/>
    </row>
    <row r="36" spans="1:15" ht="15.75" x14ac:dyDescent="0.25">
      <c r="A36" s="78" t="s">
        <v>354</v>
      </c>
      <c r="B36" s="100" t="s">
        <v>38</v>
      </c>
      <c r="C36" s="98">
        <f>SUM(C31:C33)*I36</f>
        <v>467453.18196417601</v>
      </c>
      <c r="D36" s="95">
        <f>VLOOKUP(F9,L44:M47,2,)</f>
        <v>1.0369999999999999</v>
      </c>
      <c r="E36" s="96">
        <f t="shared" si="2"/>
        <v>484748.9496968505</v>
      </c>
      <c r="F36" s="96">
        <f t="shared" si="3"/>
        <v>96949.789939370108</v>
      </c>
      <c r="G36" s="96">
        <f t="shared" si="4"/>
        <v>581698.73963622062</v>
      </c>
      <c r="H36" s="81">
        <f t="shared" si="7"/>
        <v>226.86250845812606</v>
      </c>
      <c r="I36" s="99">
        <v>2.1399999999999999E-2</v>
      </c>
      <c r="J36" s="69"/>
      <c r="K36" s="76"/>
      <c r="L36" s="97"/>
    </row>
    <row r="37" spans="1:15" ht="15.75" x14ac:dyDescent="0.25">
      <c r="A37" s="78" t="s">
        <v>355</v>
      </c>
      <c r="B37" s="100" t="s">
        <v>39</v>
      </c>
      <c r="C37" s="98">
        <f>SUM(C31:C33)*I37</f>
        <v>1843600.3998960962</v>
      </c>
      <c r="D37" s="95">
        <f>VLOOKUP(F9,L44:M47,2,)</f>
        <v>1.0369999999999999</v>
      </c>
      <c r="E37" s="96">
        <f t="shared" si="2"/>
        <v>1911813.6146922517</v>
      </c>
      <c r="F37" s="96">
        <f t="shared" si="3"/>
        <v>382362.72293845034</v>
      </c>
      <c r="G37" s="96">
        <f t="shared" si="4"/>
        <v>2294176.3376307022</v>
      </c>
      <c r="H37" s="81">
        <f t="shared" si="7"/>
        <v>894.72877167597392</v>
      </c>
      <c r="I37" s="99">
        <v>8.4400000000000003E-2</v>
      </c>
      <c r="J37" s="69"/>
      <c r="K37" s="76"/>
      <c r="L37" s="97"/>
    </row>
    <row r="38" spans="1:15" ht="15.75" x14ac:dyDescent="0.25">
      <c r="A38" s="78" t="s">
        <v>356</v>
      </c>
      <c r="B38" s="87" t="s">
        <v>6</v>
      </c>
      <c r="C38" s="98">
        <f>SUM(C31:C33)*I38</f>
        <v>622542.78906444006</v>
      </c>
      <c r="D38" s="95">
        <f>VLOOKUP(F9,L44:M47,2,)</f>
        <v>1.0369999999999999</v>
      </c>
      <c r="E38" s="96">
        <f t="shared" si="2"/>
        <v>645576.8722598243</v>
      </c>
      <c r="F38" s="96">
        <f t="shared" si="3"/>
        <v>129115.37445196486</v>
      </c>
      <c r="G38" s="96">
        <f t="shared" si="4"/>
        <v>774692.24671178916</v>
      </c>
      <c r="H38" s="81">
        <f t="shared" si="7"/>
        <v>302.1299762175978</v>
      </c>
      <c r="I38" s="99">
        <v>2.8500000000000001E-2</v>
      </c>
      <c r="J38" s="69"/>
      <c r="K38" s="76"/>
      <c r="L38" s="97"/>
    </row>
    <row r="39" spans="1:15" x14ac:dyDescent="0.25">
      <c r="A39" s="78" t="s">
        <v>357</v>
      </c>
      <c r="B39" s="87" t="s">
        <v>5</v>
      </c>
      <c r="C39" s="98">
        <f>SUM(C31:C33)*I39</f>
        <v>474006.26395432808</v>
      </c>
      <c r="D39" s="95">
        <f>VLOOKUP(F9,L44:M47,2,)</f>
        <v>1.0369999999999999</v>
      </c>
      <c r="E39" s="96">
        <f t="shared" si="2"/>
        <v>491544.4957206382</v>
      </c>
      <c r="F39" s="96">
        <f t="shared" si="3"/>
        <v>98308.899144127645</v>
      </c>
      <c r="G39" s="96">
        <f t="shared" si="4"/>
        <v>589853.39486476581</v>
      </c>
      <c r="H39" s="81">
        <f t="shared" si="7"/>
        <v>230.04282399725867</v>
      </c>
      <c r="I39" s="101">
        <v>2.1700000000000001E-2</v>
      </c>
    </row>
    <row r="40" spans="1:15" x14ac:dyDescent="0.25">
      <c r="A40" s="84"/>
      <c r="B40" s="102" t="s">
        <v>358</v>
      </c>
      <c r="C40" s="98">
        <f>SUM(C31:C34)</f>
        <v>25463092.253067289</v>
      </c>
      <c r="D40" s="95">
        <f>VLOOKUP(F9,L44:M47,2,)</f>
        <v>1.0369999999999999</v>
      </c>
      <c r="E40" s="96">
        <f>SUM(E31:E34)</f>
        <v>26405226.666430775</v>
      </c>
      <c r="F40" s="96">
        <f>SUM(F31:F34)</f>
        <v>5281045.333286155</v>
      </c>
      <c r="G40" s="96">
        <f>SUM(G31:G34)</f>
        <v>31686271.99971693</v>
      </c>
      <c r="H40" s="81">
        <f ca="1">G40*0.39</f>
        <v>12357646.079889603</v>
      </c>
    </row>
    <row r="42" spans="1:15" s="75" customFormat="1" ht="12.75" x14ac:dyDescent="0.2">
      <c r="A42" s="90" t="s">
        <v>28</v>
      </c>
      <c r="B42" s="90"/>
    </row>
    <row r="43" spans="1:15" s="66" customFormat="1" ht="67.5" customHeight="1" x14ac:dyDescent="0.25">
      <c r="A43" s="103" t="s">
        <v>29</v>
      </c>
      <c r="B43" s="106" t="s">
        <v>375</v>
      </c>
      <c r="C43" s="106"/>
      <c r="D43" s="106"/>
      <c r="E43" s="106"/>
      <c r="F43" s="106"/>
      <c r="G43" s="106"/>
    </row>
    <row r="44" spans="1:15" s="66" customFormat="1" ht="40.5" customHeight="1" x14ac:dyDescent="0.25">
      <c r="A44" s="103" t="s">
        <v>30</v>
      </c>
      <c r="B44" s="106" t="s">
        <v>359</v>
      </c>
      <c r="C44" s="106"/>
      <c r="D44" s="106"/>
      <c r="E44" s="106"/>
      <c r="F44" s="106"/>
      <c r="G44" s="106"/>
      <c r="H44" s="65"/>
      <c r="I44" s="65" t="s">
        <v>367</v>
      </c>
      <c r="J44" s="66">
        <v>7.46</v>
      </c>
      <c r="L44" s="54" t="s">
        <v>333</v>
      </c>
      <c r="M44" s="55">
        <v>1.0369999999999999</v>
      </c>
      <c r="N44" s="54"/>
      <c r="O44" s="54"/>
    </row>
    <row r="45" spans="1:15" s="66" customFormat="1" ht="28.5" customHeight="1" x14ac:dyDescent="0.25">
      <c r="A45" s="103" t="s">
        <v>32</v>
      </c>
      <c r="B45" s="106" t="s">
        <v>33</v>
      </c>
      <c r="C45" s="106"/>
      <c r="D45" s="106"/>
      <c r="E45" s="106"/>
      <c r="F45" s="106"/>
      <c r="G45" s="106"/>
      <c r="I45" s="66" t="s">
        <v>365</v>
      </c>
      <c r="J45" s="66">
        <v>5.62</v>
      </c>
      <c r="L45" s="54" t="s">
        <v>334</v>
      </c>
      <c r="M45" s="55">
        <f>1.037*1.038</f>
        <v>1.076406</v>
      </c>
      <c r="N45" s="56"/>
      <c r="O45" s="56"/>
    </row>
    <row r="46" spans="1:15" s="75" customFormat="1" ht="16.5" customHeight="1" x14ac:dyDescent="0.2">
      <c r="A46" s="103" t="s">
        <v>34</v>
      </c>
      <c r="B46" s="66" t="s">
        <v>376</v>
      </c>
      <c r="C46" s="66"/>
      <c r="I46" s="75" t="s">
        <v>364</v>
      </c>
      <c r="J46" s="75">
        <v>6.16</v>
      </c>
      <c r="L46" s="54" t="s">
        <v>335</v>
      </c>
      <c r="M46" s="55">
        <f>1.037*1.038*1.038</f>
        <v>1.117309428</v>
      </c>
      <c r="N46" s="104"/>
      <c r="O46" s="104"/>
    </row>
    <row r="47" spans="1:15" s="75" customFormat="1" ht="15.75" customHeight="1" x14ac:dyDescent="0.2">
      <c r="A47" s="105" t="s">
        <v>35</v>
      </c>
      <c r="B47" s="66" t="s">
        <v>377</v>
      </c>
      <c r="C47" s="66"/>
      <c r="L47" s="54" t="s">
        <v>336</v>
      </c>
      <c r="M47" s="55">
        <f>1.037*1.038*1.038*1.038</f>
        <v>1.159767186264</v>
      </c>
      <c r="N47" s="104"/>
      <c r="O47" s="104"/>
    </row>
    <row r="48" spans="1:15" s="75" customFormat="1" ht="18.75" customHeight="1" x14ac:dyDescent="0.25">
      <c r="A48" s="105" t="s">
        <v>36</v>
      </c>
      <c r="B48" s="66" t="s">
        <v>41</v>
      </c>
      <c r="C48" s="66"/>
      <c r="L48" s="54"/>
      <c r="M48" s="56"/>
      <c r="N48" s="104"/>
      <c r="O48" s="104"/>
    </row>
    <row r="49" spans="1:2" s="75" customFormat="1" ht="12.75" x14ac:dyDescent="0.2">
      <c r="A49" s="89"/>
    </row>
    <row r="50" spans="1:2" x14ac:dyDescent="0.25">
      <c r="B50" s="66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2021'!$B$8:$B$289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1" t="s">
        <v>46</v>
      </c>
      <c r="C3" s="111"/>
      <c r="D3" s="111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2"/>
      <c r="D6" s="112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2" t="s">
        <v>363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372</v>
      </c>
      <c r="C183" s="37">
        <v>931769.18</v>
      </c>
      <c r="D183" s="35">
        <f t="shared" si="2"/>
        <v>776474.31666666677</v>
      </c>
      <c r="E183" s="35"/>
      <c r="F183" s="53" t="s">
        <v>365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365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365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365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365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365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365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365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365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365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365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365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365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365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365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365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365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365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365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365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365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365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365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365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365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365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365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365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365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365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365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365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365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365</v>
      </c>
    </row>
    <row r="217" spans="1:6" x14ac:dyDescent="0.25">
      <c r="A217" s="31">
        <v>210</v>
      </c>
      <c r="B217" s="36" t="s">
        <v>368</v>
      </c>
      <c r="C217" s="37">
        <v>13602.64</v>
      </c>
      <c r="D217" s="35">
        <f t="shared" si="3"/>
        <v>11335.533333333333</v>
      </c>
      <c r="E217" s="35"/>
      <c r="F217" s="53" t="s">
        <v>365</v>
      </c>
    </row>
    <row r="218" spans="1:6" x14ac:dyDescent="0.25">
      <c r="A218" s="31">
        <v>211</v>
      </c>
      <c r="B218" s="36" t="s">
        <v>370</v>
      </c>
      <c r="C218" s="37">
        <v>59787.55</v>
      </c>
      <c r="D218" s="35">
        <f t="shared" si="3"/>
        <v>49822.958333333336</v>
      </c>
      <c r="E218" s="35"/>
      <c r="F218" s="53" t="s">
        <v>365</v>
      </c>
    </row>
    <row r="219" spans="1:6" x14ac:dyDescent="0.25">
      <c r="A219" s="31">
        <v>212</v>
      </c>
      <c r="B219" s="36" t="s">
        <v>369</v>
      </c>
      <c r="C219" s="37">
        <v>107.95</v>
      </c>
      <c r="D219" s="35">
        <f t="shared" si="3"/>
        <v>89.958333333333343</v>
      </c>
      <c r="E219" s="35"/>
      <c r="F219" s="53" t="s">
        <v>365</v>
      </c>
    </row>
    <row r="220" spans="1:6" x14ac:dyDescent="0.25">
      <c r="A220" s="31">
        <v>213</v>
      </c>
      <c r="B220" s="36" t="s">
        <v>371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366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366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366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366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366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366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366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366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366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366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366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366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366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366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366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366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366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366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366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366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366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366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366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366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366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366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366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366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366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366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366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366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366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366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366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366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366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366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366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366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366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366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366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366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366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366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366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366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366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366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366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365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365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365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364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364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364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366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366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366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366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366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366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366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366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366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366</v>
      </c>
    </row>
    <row r="288" spans="1:6" x14ac:dyDescent="0.25">
      <c r="A288" s="31">
        <v>281</v>
      </c>
      <c r="B288" s="34" t="s">
        <v>360</v>
      </c>
      <c r="C288" s="46">
        <v>157021.46</v>
      </c>
      <c r="D288" s="46">
        <f t="shared" ref="D288:D289" si="5">C288/1.2</f>
        <v>130851.21666666666</v>
      </c>
      <c r="E288" s="46"/>
      <c r="F288" s="53" t="s">
        <v>364</v>
      </c>
    </row>
    <row r="289" spans="1:6" x14ac:dyDescent="0.25">
      <c r="A289" s="31">
        <v>282</v>
      </c>
      <c r="B289" s="34" t="s">
        <v>361</v>
      </c>
      <c r="C289" s="46">
        <v>8120.62</v>
      </c>
      <c r="D289" s="46">
        <f t="shared" si="5"/>
        <v>6767.1833333333334</v>
      </c>
      <c r="E289" s="46"/>
      <c r="F289" s="53" t="s">
        <v>364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2022-03-14T12:15:52Z</dcterms:modified>
</cp:coreProperties>
</file>