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7"/>
  <workbookPr/>
  <mc:AlternateContent xmlns:mc="http://schemas.openxmlformats.org/markup-compatibility/2006">
    <mc:Choice Requires="x15">
      <x15ac:absPath xmlns:x15ac="http://schemas.microsoft.com/office/spreadsheetml/2010/11/ac" url="W:\ДЛЯ РЭК\Инвестиции\2024\ИСУ\"/>
    </mc:Choice>
  </mc:AlternateContent>
  <xr:revisionPtr revIDLastSave="0" documentId="13_ncr:1_{E0ACD88E-AA0D-4E11-BD67-6DFE99F7E4A0}" xr6:coauthVersionLast="36" xr6:coauthVersionMax="36" xr10:uidLastSave="{00000000-0000-0000-0000-000000000000}"/>
  <bookViews>
    <workbookView xWindow="0" yWindow="0" windowWidth="28800" windowHeight="12585" activeTab="2" xr2:uid="{00000000-000D-0000-FFFF-FFFF00000000}"/>
  </bookViews>
  <sheets>
    <sheet name="обоснования СПб" sheetId="4" r:id="rId1"/>
    <sheet name="обоснования ЛО" sheetId="3" r:id="rId2"/>
    <sheet name="свод" sheetId="8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definedNames>
    <definedName name="____________wrn222" hidden="1">{"glc1",#N/A,FALSE,"GLC";"glc2",#N/A,FALSE,"GLC";"glc3",#N/A,FALSE,"GLC";"glc4",#N/A,FALSE,"GLC";"glc5",#N/A,FALSE,"GLC"}</definedName>
    <definedName name="___________wrn2" hidden="1">{"glc1",#N/A,FALSE,"GLC";"glc2",#N/A,FALSE,"GLC";"glc3",#N/A,FALSE,"GLC";"glc4",#N/A,FALSE,"GLC";"glc5",#N/A,FALSE,"GLC"}</definedName>
    <definedName name="__________wrn222" hidden="1">{"glc1",#N/A,FALSE,"GLC";"glc2",#N/A,FALSE,"GLC";"glc3",#N/A,FALSE,"GLC";"glc4",#N/A,FALSE,"GLC";"glc5",#N/A,FALSE,"GLC"}</definedName>
    <definedName name="_________wrn2" hidden="1">{"glc1",#N/A,FALSE,"GLC";"glc2",#N/A,FALSE,"GLC";"glc3",#N/A,FALSE,"GLC";"glc4",#N/A,FALSE,"GLC";"glc5",#N/A,FALSE,"GLC"}</definedName>
    <definedName name="_________wrn222" hidden="1">{"glc1",#N/A,FALSE,"GLC";"glc2",#N/A,FALSE,"GLC";"glc3",#N/A,FALSE,"GLC";"glc4",#N/A,FALSE,"GLC";"glc5",#N/A,FALSE,"GLC"}</definedName>
    <definedName name="________wrn2" hidden="1">{"glc1",#N/A,FALSE,"GLC";"glc2",#N/A,FALSE,"GLC";"glc3",#N/A,FALSE,"GLC";"glc4",#N/A,FALSE,"GLC";"glc5",#N/A,FALSE,"GLC"}</definedName>
    <definedName name="________wrn222" hidden="1">{"glc1",#N/A,FALSE,"GLC";"glc2",#N/A,FALSE,"GLC";"glc3",#N/A,FALSE,"GLC";"glc4",#N/A,FALSE,"GLC";"glc5",#N/A,FALSE,"GLC"}</definedName>
    <definedName name="_______wrn2" hidden="1">{"glc1",#N/A,FALSE,"GLC";"glc2",#N/A,FALSE,"GLC";"glc3",#N/A,FALSE,"GLC";"glc4",#N/A,FALSE,"GLC";"glc5",#N/A,FALSE,"GLC"}</definedName>
    <definedName name="______wrn222" hidden="1">{"glc1",#N/A,FALSE,"GLC";"glc2",#N/A,FALSE,"GLC";"glc3",#N/A,FALSE,"GLC";"glc4",#N/A,FALSE,"GLC";"glc5",#N/A,FALSE,"GLC"}</definedName>
    <definedName name="_____wrn2" hidden="1">{"glc1",#N/A,FALSE,"GLC";"glc2",#N/A,FALSE,"GLC";"glc3",#N/A,FALSE,"GLC";"glc4",#N/A,FALSE,"GLC";"glc5",#N/A,FALSE,"GLC"}</definedName>
    <definedName name="____wrn222" hidden="1">{"glc1",#N/A,FALSE,"GLC";"glc2",#N/A,FALSE,"GLC";"glc3",#N/A,FALSE,"GLC";"glc4",#N/A,FALSE,"GLC";"glc5",#N/A,FALSE,"GLC"}</definedName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1__123Graph_ACHART_4" hidden="1">#REF!</definedName>
    <definedName name="_10__123Graph_XCHART_3" hidden="1">#REF!</definedName>
    <definedName name="_11__123Graph_XCHART_4" hidden="1">#REF!</definedName>
    <definedName name="_2__123Graph_XCHART_3" hidden="1">#REF!</definedName>
    <definedName name="_3__123Graph_XCHART_4" hidden="1">#REF!</definedName>
    <definedName name="_9__123Graph_ACHART_4" hidden="1">#REF!</definedName>
    <definedName name="_Order1" hidden="1">255</definedName>
    <definedName name="_Order2" hidden="1">255</definedName>
    <definedName name="_u1" hidden="1">{#N/A,#N/A,TRUE,"Лист1";#N/A,#N/A,TRUE,"Лист2";#N/A,#N/A,TRUE,"Лист3"}</definedName>
    <definedName name="_wrn1" hidden="1">{#N/A,#N/A,TRUE,"Лист1";#N/A,#N/A,TRUE,"Лист2";#N/A,#N/A,TRUE,"Лист3"}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" hidden="1">{#N/A,#N/A,FALSE,"Aging Summary";#N/A,#N/A,FALSE,"Ratio Analysis";#N/A,#N/A,FALSE,"Test 120 Day Accts";#N/A,#N/A,FALSE,"Tickmarks"}</definedName>
    <definedName name="aa" hidden="1">{#N/A,#N/A,FALSE,"Aging Summary";#N/A,#N/A,FALSE,"Ratio Analysis";#N/A,#N/A,FALSE,"Test 120 Day Accts";#N/A,#N/A,FALSE,"Tickmarks"}</definedName>
    <definedName name="aaa" hidden="1">{#N/A,#N/A,FALSE,"Aging Summary";#N/A,#N/A,FALSE,"Ratio Analysis";#N/A,#N/A,FALSE,"Test 120 Day Accts";#N/A,#N/A,FALSE,"Tickmarks"}</definedName>
    <definedName name="aaa0" hidden="1">{#N/A,#N/A,FALSE,"Aging Summary";#N/A,#N/A,FALSE,"Ratio Analysis";#N/A,#N/A,FALSE,"Test 120 Day Accts";#N/A,#N/A,FALSE,"Tickmarks"}</definedName>
    <definedName name="abc" hidden="1">{#N/A,#N/A,FALSE,"Aging Summary";#N/A,#N/A,FALSE,"Ratio Analysis";#N/A,#N/A,FALSE,"Test 120 Day Accts";#N/A,#N/A,FALSE,"Tickmarks"}</definedName>
    <definedName name="Agr_temp" hidden="1">{"Supporting Schedules",#N/A,FALSE,"Results"}</definedName>
    <definedName name="Agr_temp_1" hidden="1">{"Supporting Schedules",#N/A,FALSE,"Results"}</definedName>
    <definedName name="AS2DocOpenMode" hidden="1">"AS2DocumentEdit"</definedName>
    <definedName name="AS2HasNoAutoHeaderFooter" hidden="1">" "</definedName>
    <definedName name="asdf" hidden="1">#REF!</definedName>
    <definedName name="asdfasdf" hidden="1">#REF!</definedName>
    <definedName name="b" hidden="1">{#N/A,#N/A,FALSE,"Aging Summary";#N/A,#N/A,FALSE,"Ratio Analysis";#N/A,#N/A,FALSE,"Test 120 Day Accts";#N/A,#N/A,FALSE,"Tickmarks"}</definedName>
    <definedName name="bb" hidden="1">{#N/A,#N/A,FALSE,"Aging Summary";#N/A,#N/A,FALSE,"Ratio Analysis";#N/A,#N/A,FALSE,"Test 120 Day Accts";#N/A,#N/A,FALSE,"Tickmarks"}</definedName>
    <definedName name="bbb" hidden="1">{#N/A,#N/A,FALSE,"Aging Summary";#N/A,#N/A,FALSE,"Ratio Analysis";#N/A,#N/A,FALSE,"Test 120 Day Accts";#N/A,#N/A,FALSE,"Tickmarks"}</definedName>
    <definedName name="BLPH1" hidden="1">[1]GLC_ratios_Jun!$D$15</definedName>
    <definedName name="BLPH2" hidden="1">[1]GLC_ratios_Jun!$Z$15</definedName>
    <definedName name="cf" hidden="1">{#N/A,#N/A,FALSE,"Aging Summary";#N/A,#N/A,FALSE,"Ratio Analysis";#N/A,#N/A,FALSE,"Test 120 Day Accts";#N/A,#N/A,FALSE,"Tickmarks"}</definedName>
    <definedName name="Cons_temp" hidden="1">{"Supporting Schedules",#N/A,FALSE,"Results"}</definedName>
    <definedName name="d" hidden="1">{#N/A,#N/A,FALSE,"Aging Summary";#N/A,#N/A,FALSE,"Ratio Analysis";#N/A,#N/A,FALSE,"Test 120 Day Accts";#N/A,#N/A,FALSE,"Tickmarks"}</definedName>
    <definedName name="dd" hidden="1">{"Valuation_Common",#N/A,FALSE,"Valuation"}</definedName>
    <definedName name="ddd" hidden="1">{"Summary",#N/A,FALSE,"Valuation Summary";"Financial Statements",#N/A,FALSE,"Results";"FCF",#N/A,FALSE,"Results"}</definedName>
    <definedName name="deed1" hidden="1">{#N/A,#N/A,TRUE,"Лист1";#N/A,#N/A,TRUE,"Лист2";#N/A,#N/A,TRUE,"Лист3"}</definedName>
    <definedName name="dfa" hidden="1">#REF!</definedName>
    <definedName name="Discl" hidden="1">{"Valuation_Common",#N/A,FALSE,"Valuation"}</definedName>
    <definedName name="e" hidden="1">#REF!</definedName>
    <definedName name="ee" hidden="1">#REF!</definedName>
    <definedName name="elman" hidden="1">#REF!</definedName>
    <definedName name="fff" hidden="1">{#N/A,#N/A,FALSE,"Aging Summary";#N/A,#N/A,FALSE,"Ratio Analysis";#N/A,#N/A,FALSE,"Test 120 Day Accts";#N/A,#N/A,FALSE,"Tickmarks"}</definedName>
    <definedName name="Fin" hidden="1">{"Valuation_Common",#N/A,FALSE,"Valuation"}</definedName>
    <definedName name="Finance" hidden="1">{"Valuation_Common",#N/A,FALSE,"Valuation"}</definedName>
    <definedName name="ggg" hidden="1">{#N/A,#N/A,FALSE,"Aging Summary";#N/A,#N/A,FALSE,"Ratio Analysis";#N/A,#N/A,FALSE,"Test 120 Day Accts";#N/A,#N/A,FALSE,"Tickmarks"}</definedName>
    <definedName name="ghd" hidden="1">{#N/A,#N/A,FALSE,"Aging Summary";#N/A,#N/A,FALSE,"Ratio Analysis";#N/A,#N/A,FALSE,"Test 120 Day Accts";#N/A,#N/A,FALSE,"Tickmarks"}</definedName>
    <definedName name="Header1" hidden="1">IF(COUNTA(#REF!)=0,0,INDEX(#REF!,MATCH(ROW(#REF!),#REF!,TRUE)))+1</definedName>
    <definedName name="Header2" hidden="1">[2]!Header1-1 &amp; "." &amp; MAX(1,COUNTA(INDEX(#REF!,MATCH([2]!Header1-1,#REF!,FALSE)):#REF!))</definedName>
    <definedName name="HTML_CodePage" hidden="1">1251</definedName>
    <definedName name="HTML_Control" hidden="1">{"'таб 21'!$A$1:$U$24","'таб 21'!$A$1:$U$1"}</definedName>
    <definedName name="HTML_Description" hidden="1">""</definedName>
    <definedName name="HTML_Email" hidden="1">""</definedName>
    <definedName name="HTML_Header" hidden="1">"таб 21"</definedName>
    <definedName name="HTML_LastUpdate" hidden="1">"22.06.00"</definedName>
    <definedName name="HTML_LineAfter" hidden="1">TRUE</definedName>
    <definedName name="HTML_LineBefore" hidden="1">TRUE</definedName>
    <definedName name="HTML_Name" hidden="1">"KOPAN"</definedName>
    <definedName name="HTML_OBDlg2" hidden="1">TRUE</definedName>
    <definedName name="HTML_OBDlg4" hidden="1">TRUE</definedName>
    <definedName name="HTML_OS" hidden="1">0</definedName>
    <definedName name="HTML_PathFile" hidden="1">"C:\Мои документы\ОТЧЁТЫ 1999 ГОДА\12 мес\MyHTML.htm"</definedName>
    <definedName name="HTML_PathFileMac" hidden="1">"Macintosh HD:HomePageStuff:New_Home_Page:datafile:histret.html"</definedName>
    <definedName name="HTML_Title" hidden="1">"Таблицы к отчету 1999 года"</definedName>
    <definedName name="HTML1_1" hidden="1">"[ReturnsHistorical]Sheet1!$A$1:$D$77"</definedName>
    <definedName name="HTML1_10" hidden="1">""</definedName>
    <definedName name="HTML1_11" hidden="1">1</definedName>
    <definedName name="HTML1_12" hidden="1">"Zip 100:New_Home_Page:datafile:histret.html"</definedName>
    <definedName name="HTML1_2" hidden="1">1</definedName>
    <definedName name="HTML1_3" hidden="1">"ReturnsHistorical"</definedName>
    <definedName name="HTML1_4" hidden="1">"Historical Returns on Stocks, Bonds and Bills"</definedName>
    <definedName name="HTML1_5" hidden="1">"Ibbotson Data"</definedName>
    <definedName name="HTML1_6" hidden="1">-4146</definedName>
    <definedName name="HTML1_7" hidden="1">-4146</definedName>
    <definedName name="HTML1_8" hidden="1">"3/17/97"</definedName>
    <definedName name="HTML1_9" hidden="1">"Aswath Damodaran"</definedName>
    <definedName name="HTML2_1" hidden="1">"[histret.xls]Sheet1!$A$1:$G$85"</definedName>
    <definedName name="HTML2_10" hidden="1">""</definedName>
    <definedName name="HTML2_11" hidden="1">1</definedName>
    <definedName name="HTML2_12" hidden="1">"Macintosh HD:New_Home_Page:datafile:histret.html"</definedName>
    <definedName name="HTML2_2" hidden="1">1</definedName>
    <definedName name="HTML2_3" hidden="1">"Historical Returns"</definedName>
    <definedName name="HTML2_4" hidden="1">"Historical Returns on Stocks, Bonds and Bills"</definedName>
    <definedName name="HTML2_5" hidden="1">""</definedName>
    <definedName name="HTML2_6" hidden="1">1</definedName>
    <definedName name="HTML2_7" hidden="1">1</definedName>
    <definedName name="HTML2_8" hidden="1">"2/3/98"</definedName>
    <definedName name="HTML2_9" hidden="1">"Aswath Damodaran"</definedName>
    <definedName name="HTMLCount" hidden="1">2</definedName>
    <definedName name="iii_contr" hidden="1">{"'таб 21'!$A$1:$U$24","'таб 21'!$A$1:$U$1"}</definedName>
    <definedName name="Index2" hidden="1">{#N/A,#N/A,FALSE,"Aging Summary";#N/A,#N/A,FALSE,"Ratio Analysis";#N/A,#N/A,FALSE,"Test 120 Day Accts";#N/A,#N/A,FALSE,"Tickmarks"}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"c1344"</definedName>
    <definedName name="IQ_ADDIN" hidden="1">"AUTO"</definedName>
    <definedName name="IQ_ADJ_AVG_BANK_ASSETS" hidden="1">"c2671"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TIONS" hidden="1">"c2837"</definedName>
    <definedName name="IQ_AIR_ORDERS" hidden="1">"c2836"</definedName>
    <definedName name="IQ_AIR_OWNED" hidden="1">"c2832"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"c1591"</definedName>
    <definedName name="IQ_ANNU_DISTRIBUTION_UNIT" hidden="1">"c3004"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SHAREOUTSTANDING" hidden="1">"c83"</definedName>
    <definedName name="IQ_AVG_TEV" hidden="1">"c84"</definedName>
    <definedName name="IQ_AVG_VOLUME" hidden="1">"c1346"</definedName>
    <definedName name="IQ_BANK_DEBT" hidden="1">"c2544"</definedName>
    <definedName name="IQ_BANK_DEBT_PCT" hidden="1">"c2545"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ROK_COMISSION" hidden="1">"c98"</definedName>
    <definedName name="IQ_BUILDINGS" hidden="1">"c99"</definedName>
    <definedName name="IQ_BUSINESS_DESCRIPTION" hidden="1">"c322"</definedName>
    <definedName name="IQ_BV_OVER_SHARES" hidden="1">"c1349"</definedName>
    <definedName name="IQ_BV_SHARE" hidden="1">"c100"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Y" hidden="1">"c102"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IZED_INTEREST" hidden="1">"c2076"</definedName>
    <definedName name="IQ_CASH" hidden="1">"c1458"</definedName>
    <definedName name="IQ_CASH_ACQUIRE_CF" hidden="1">"c116"</definedName>
    <definedName name="IQ_CASH_CONVERSION" hidden="1">"c117"</definedName>
    <definedName name="IQ_CASH_DUE_BANKS" hidden="1">"c1351"</definedName>
    <definedName name="IQ_CASH_EQUIV" hidden="1">"c118"</definedName>
    <definedName name="IQ_CASH_FINAN" hidden="1">"c119"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WORKING_CAPITAL" hidden="1">"c1909"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ED" hidden="1">"c2681"</definedName>
    <definedName name="IQ_CLASSA_OPTIONS_GRANTED" hidden="1">"c2680"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NVERT" hidden="1">"c2536"</definedName>
    <definedName name="IQ_CONVERT_PCT" hidden="1">"c2537"</definedName>
    <definedName name="IQ_COST_BORROWING" hidden="1">"c2936"</definedName>
    <definedName name="IQ_COST_BORROWINGS" hidden="1">"c225"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P" hidden="1">"c2495"</definedName>
    <definedName name="IQ_CP_PCT" hidden="1">"c2496"</definedName>
    <definedName name="IQ_CQ" hidden="1">5000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PORT_PCT" hidden="1">"c2541"</definedName>
    <definedName name="IQ_CURRENT_RATIO" hidden="1">"c246"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POSITS_FIN" hidden="1">"c321"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SCRIPTION_LONG" hidden="1">"c1520"</definedName>
    <definedName name="IQ_DEVELOP_LAND" hidden="1">"c323"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STRIBUTABLE_CASH" hidden="1">"c3002"</definedName>
    <definedName name="IQ_DISTRIBUTABLE_CASH_PAYOUT" hidden="1">"c3005"</definedName>
    <definedName name="IQ_DISTRIBUTABLE_CASH_SHARE" hidden="1">"c3003"</definedName>
    <definedName name="IQ_DIV_AMOUNT" hidden="1">"c3041"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BIT" hidden="1">"c352"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INT" hidden="1">"c360"</definedName>
    <definedName name="IQ_EBIT_MARGIN" hidden="1">"c359"</definedName>
    <definedName name="IQ_EBIT_OVER_IE" hidden="1">"c1369"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MARGIN" hidden="1">"c1963"</definedName>
    <definedName name="IQ_EBITDA" hidden="1">"c361"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CAPEX_INT" hidden="1">"c368"</definedName>
    <definedName name="IQ_EBITDA_CAPEX_OVER_TOTAL_IE" hidden="1">"c1370"</definedName>
    <definedName name="IQ_EBITDA_INT" hidden="1">"c373"</definedName>
    <definedName name="IQ_EBITDA_MARGIN" hidden="1">"c372"</definedName>
    <definedName name="IQ_EBITDA_OVER_TOTAL_IE" hidden="1">"c1371"</definedName>
    <definedName name="IQ_EBITDAR" hidden="1">"c2989"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UTI" hidden="1">"c390"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"c1348"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NORM" hidden="1">"c1902"</definedName>
    <definedName name="IQ_EQUITY_AFFIL" hidden="1">"c1451"</definedName>
    <definedName name="IQ_EQUITY_METHOD" hidden="1">"c404"</definedName>
    <definedName name="IQ_EQV_OVER_BV" hidden="1">"c1596"</definedName>
    <definedName name="IQ_EQV_OVER_LTM_PRETAX_INC" hidden="1">"c1390"</definedName>
    <definedName name="IQ_ESOP_DEBT" hidden="1">"c1597"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XCHANGE" hidden="1">"c405"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FDIC" hidden="1">"c417"</definedName>
    <definedName name="IQ_FEDFUNDS_SOLD" hidden="1">"c2256"</definedName>
    <definedName name="IQ_FFO" hidden="1">"c1574"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REV" hidden="1">"c437"</definedName>
    <definedName name="IQ_FINANCING_CASH" hidden="1">"c1405"</definedName>
    <definedName name="IQ_FINANCING_CASH_SUPPL" hidden="1">"c1406"</definedName>
    <definedName name="IQ_FINISHED_INV" hidden="1">"c438"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"c1376"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Y" hidden="1">1000</definedName>
    <definedName name="IQ_GA_EXP" hidden="1">"c2241"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C_EARNED" hidden="1">"c2747"</definedName>
    <definedName name="IQ_GROSS_PROFIT" hidden="1">"c1378"</definedName>
    <definedName name="IQ_GROSS_WRITTEN" hidden="1">"c2726"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"c1407"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PRD" hidden="1">"c644"</definedName>
    <definedName name="IQ_ISS_DEBT_NET" hidden="1">"c1391"</definedName>
    <definedName name="IQ_ISS_STOCK_NET" hidden="1">"c1601"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H_STATUTORY_SURPLUS" hidden="1">"c2771"</definedName>
    <definedName name="IQ_LICENSED_POPS" hidden="1">"c2123"</definedName>
    <definedName name="IQ_LIFE_EARNED" hidden="1">"c2739"</definedName>
    <definedName name="IQ_LIFOR" hidden="1">"c655"</definedName>
    <definedName name="IQ_LL" hidden="1">"c656"</definedName>
    <definedName name="IQ_LOAN_LEASE_RECEIV" hidden="1">"c657"</definedName>
    <definedName name="IQ_LOAN_LOSS" hidden="1">"c1386"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LOSS_EXP" hidden="1">"c672"</definedName>
    <definedName name="IQ_LOSS_TO_NET_EARNED" hidden="1">"c2751"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MACHINERY" hidden="1">"c711"</definedName>
    <definedName name="IQ_MAINT_CAPEX" hidden="1">"c2947"</definedName>
    <definedName name="IQ_MAINT_REPAIR" hidden="1">"c2087"</definedName>
    <definedName name="IQ_MARKET_CAP_LFCF" hidden="1">"c2209"</definedName>
    <definedName name="IQ_MARKETCAP" hidden="1">"c712"</definedName>
    <definedName name="IQ_MARKETING" hidden="1">"c2239"</definedName>
    <definedName name="IQ_MC_RATIO" hidden="1">"c2783"</definedName>
    <definedName name="IQ_MC_STATUTORY_SURPLUS" hidden="1">"c2772"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M_ACCOUNT" hidden="1">"c743"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SERV_RIGHTS" hidden="1">"c2242"</definedName>
    <definedName name="IQ_NET_CHANGE" hidden="1">"c749"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EBITDA" hidden="1">"c750"</definedName>
    <definedName name="IQ_NET_DEBT_EBITDA_CAPEX" hidden="1">"c2949"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EARNED" hidden="1">"c2734"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IFE_INS_IN_FORCE" hidden="1">"c2769"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ET_TO_GROSS_EARNED" hidden="1">"c2750"</definedName>
    <definedName name="IQ_NET_TO_GROSS_WRITTEN" hidden="1">"c2729"</definedName>
    <definedName name="IQ_NET_WRITTEN" hidden="1">"c2728"</definedName>
    <definedName name="IQ_NEW_PREM" hidden="1">"c2785"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MARGIN" hidden="1">"c794"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SFAS" hidden="1">"c795"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CASH_PENSION_EXP" hidden="1">"c3000"</definedName>
    <definedName name="IQ_NONRECOURSE_DEBT" hidden="1">"c2550"</definedName>
    <definedName name="IQ_NONRECOURSE_DEBT_PCT" hidden="1">"c2551"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VISIONS_GAS" hidden="1">"c2042"</definedName>
    <definedName name="IQ_OG_REVISIONS_NGL" hidden="1">"c2913"</definedName>
    <definedName name="IQ_OG_REVISIONS_OIL" hidden="1">"c2030"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UNDEVELOPED_RESERVES_GAS" hidden="1">"c2051"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"c1448"</definedName>
    <definedName name="IQ_OPER_INC_REIT" hidden="1">"c853"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ED" hidden="1">"c2688"</definedName>
    <definedName name="IQ_OTHER_OPTIONS_GRANTED" hidden="1">"c2687"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TRIKE_PRICE_GRANTED" hidden="1">"c2692"</definedName>
    <definedName name="IQ_OTHER_UNDRAWN" hidden="1">"c2522"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NORMALIZED" hidden="1">"c2207"</definedName>
    <definedName name="IQ_PE_RATIO" hidden="1">"c1610"</definedName>
    <definedName name="IQ_PENSION" hidden="1">"c1031"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ICE_OVER_BVPS" hidden="1">"c1412"</definedName>
    <definedName name="IQ_PRICE_OVER_LTM_EPS" hidden="1">"c1413"</definedName>
    <definedName name="IQ_PRICEDATE" hidden="1">"c1069"</definedName>
    <definedName name="IQ_PRICING_DATE" hidden="1">"c1613"</definedName>
    <definedName name="IQ_PRIMARY_INDUSTRY" hidden="1">"c1070"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CQUIRED_FRANCHISE_STORES" hidden="1">"c2903"</definedName>
    <definedName name="IQ_RETAIL_ACQUIRED_OWNED_STORES" hidden="1">"c2895"</definedName>
    <definedName name="IQ_RETAIL_ACQUIRED_STORES" hidden="1">"c2887"</definedName>
    <definedName name="IQ_RETAIL_AVG_STORE_SIZE_GROSS" hidden="1">"c2066"</definedName>
    <definedName name="IQ_RETAIL_AVG_STORE_SIZE_NET" hidden="1">"c2067"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FRANCHISE_STORES_BEG" hidden="1">"c2893"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WNED_STORES_BEG" hidden="1">"c2901"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FRANCHISE_STORES" hidden="1">"c2898"</definedName>
    <definedName name="IQ_RETAIL_TOTAL_OWNED_STORES" hidden="1">"c2906"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UTI" hidden="1">"c1125"</definedName>
    <definedName name="IQ_REVENUE" hidden="1">"c1422"</definedName>
    <definedName name="IQ_REVISION_DATE_" hidden="1">39237.3983333333</definedName>
    <definedName name="IQ_RISK_ADJ_BANK_ASSETS" hidden="1">"c2670"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ECUR_RECEIV" hidden="1">"c1151"</definedName>
    <definedName name="IQ_SECURED_DEBT" hidden="1">"c2546"</definedName>
    <definedName name="IQ_SECURED_DEBT_PCT" hidden="1">"c2547"</definedName>
    <definedName name="IQ_SECURITY_BORROW" hidden="1">"c1152"</definedName>
    <definedName name="IQ_SECURITY_OWN" hidden="1">"c1153"</definedName>
    <definedName name="IQ_SECURITY_RESELL" hidden="1">"c1154"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RIKE_PRICE_ISSUED" hidden="1">"c1645"</definedName>
    <definedName name="IQ_STRIKE_PRICE_OS" hidden="1">"c1646"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MPLOYEE_AVG" hidden="1">"c1225"</definedName>
    <definedName name="IQ_TEV_TOTAL_REV" hidden="1">"c1226"</definedName>
    <definedName name="IQ_TEV_TOTAL_REV_AVG" hidden="1">"c1227"</definedName>
    <definedName name="IQ_TEV_UFCF" hidden="1">"c2208"</definedName>
    <definedName name="IQ_TIER_ONE_CAPITAL" hidden="1">"c2667"</definedName>
    <definedName name="IQ_TIER_ONE_RATIO" hidden="1">"c1229"</definedName>
    <definedName name="IQ_TIER_TWO_CAPITAL" hidden="1">"c2669"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"c2141"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ED" hidden="1">"c2695"</definedName>
    <definedName name="IQ_TOTAL_OPTIONS_GRANTED" hidden="1">"c2694"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RINCIPAL" hidden="1">"c2509"</definedName>
    <definedName name="IQ_TOTAL_PRINCIPAL_PCT" hidden="1">"c2510"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UNUSUAL" hidden="1">"c1508"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DA" hidden="1">"c2381"</definedName>
    <definedName name="IQ_TR_ACQ_FILING_CURRENCY" hidden="1">"c3033"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DA" hidden="1">"c2334"</definedName>
    <definedName name="IQ_TR_TARGET_FILING_CURRENCY" hidden="1">"c3034"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SSETS" hidden="1">"c1310"</definedName>
    <definedName name="IQ_TRADING_CURRENCY" hidden="1">"c2212"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SECURED_DEBT" hidden="1">"c2548"</definedName>
    <definedName name="IQ_UNSECURED_DEBT_PCT" hidden="1">"c2549"</definedName>
    <definedName name="IQ_UNUSUAL_EXP" hidden="1">"c1456"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IGHTED_AVG_PRICE" hidden="1">"c1334"</definedName>
    <definedName name="IQ_WIP_INV" hidden="1">"c1335"</definedName>
    <definedName name="IQ_WORKMEN_WRITTEN" hidden="1">"c1336"</definedName>
    <definedName name="IQ_XDIV_DATE" hidden="1">"c2203"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Z_SCORE" hidden="1">"c1339"</definedName>
    <definedName name="jksh" hidden="1">{#N/A,#N/A,FALSE,"Aging Summary";#N/A,#N/A,FALSE,"Ratio Analysis";#N/A,#N/A,FALSE,"Test 120 Day Accts";#N/A,#N/A,FALSE,"Tickmarks"}</definedName>
    <definedName name="ktzuk" hidden="1">{#N/A,#N/A,FALSE,"Aging Summary";#N/A,#N/A,FALSE,"Ratio Analysis";#N/A,#N/A,FALSE,"Test 120 Day Accts";#N/A,#N/A,FALSE,"Tickmarks"}</definedName>
    <definedName name="lkj" hidden="1">{#N/A,#N/A,FALSE,"Aging Summary";#N/A,#N/A,FALSE,"Ratio Analysis";#N/A,#N/A,FALSE,"Test 120 Day Accts";#N/A,#N/A,FALSE,"Tickmarks"}</definedName>
    <definedName name="newname" hidden="1">{#N/A,#N/A,TRUE,"Assumptions";#N/A,#N/A,TRUE,"Op Projection";#N/A,#N/A,TRUE,"Capital";#N/A,#N/A,TRUE,"Income";#N/A,#N/A,TRUE,"Balance";#N/A,#N/A,TRUE,"Sources&amp;Uses"}</definedName>
    <definedName name="qq" hidden="1">{"Valuation_Common",#N/A,FALSE,"Valuation"}</definedName>
    <definedName name="rrr" hidden="1">{#N/A,#N/A,FALSE,"Aging Summary";#N/A,#N/A,FALSE,"Ratio Analysis";#N/A,#N/A,FALSE,"Test 120 Day Accts";#N/A,#N/A,FALSE,"Tickmarks"}</definedName>
    <definedName name="summary2" hidden="1">{#N/A,#N/A,FALSE,"Aging Summary";#N/A,#N/A,FALSE,"Ratio Analysis";#N/A,#N/A,FALSE,"Test 120 Day Accts";#N/A,#N/A,FALSE,"Tickmarks"}</definedName>
    <definedName name="Tables" hidden="1">{"Valuation_Common",#N/A,FALSE,"Valuation"}</definedName>
    <definedName name="tanya" hidden="1">{#N/A,#N/A,FALSE,"Aging Summary";#N/A,#N/A,FALSE,"Ratio Analysis";#N/A,#N/A,FALSE,"Test 120 Day Accts";#N/A,#N/A,FALSE,"Tickmarks"}</definedName>
    <definedName name="Taxes" hidden="1">{"Supporting Schedules",#N/A,FALSE,"Results"}</definedName>
    <definedName name="temp" hidden="1">{"Supporting Schedules",#N/A,FALSE,"Results"}</definedName>
    <definedName name="tertw" hidden="1">{#N/A,#N/A,FALSE,"Aging Summary";#N/A,#N/A,FALSE,"Ratio Analysis";#N/A,#N/A,FALSE,"Test 120 Day Accts";#N/A,#N/A,FALSE,"Tickmarks"}</definedName>
    <definedName name="test1" hidden="1">{#N/A,#N/A,FALSE,"Umsatz";#N/A,#N/A,FALSE,"Base V.02";#N/A,#N/A,FALSE,"Charts"}</definedName>
    <definedName name="TextRefCopyRangeCount" hidden="1">1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All._.Financials." hidden="1">{#N/A,#N/A,TRUE,"Assumptions";#N/A,#N/A,TRUE,"Op Projection";#N/A,#N/A,TRUE,"Capital";#N/A,#N/A,TRUE,"Income";#N/A,#N/A,TRUE,"Balance";#N/A,#N/A,TRUE,"Sources&amp;Uses"}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BPlan." hidden="1">{#N/A,#N/A,FALSE,"F_Plan";#N/A,#N/A,FALSE,"Parameter"}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wrn.Print._.All._.Exhibits." hidden="1">{"Inc Stmt Dollar",#N/A,FALSE,"IS";"Inc Stmt CS",#N/A,FALSE,"IS";"BS Dollar",#N/A,FALSE,"BS";"BS CS",#N/A,FALSE,"BS";"CF Dollar",#N/A,FALSE,"CF";"Ratio No.1",#N/A,FALSE,"Ratio";"Ratio No.2",#N/A,FALSE,"Ratio"}</definedName>
    <definedName name="wrn.Print._.BS._.Exhibits." hidden="1">{"BS Dollar",#N/A,FALSE,"BS";"BS CS",#N/A,FALSE,"BS"}</definedName>
    <definedName name="wrn.Print._.CF._.Exhibit." hidden="1">{"CF Dollar",#N/A,FALSE,"CF"}</definedName>
    <definedName name="wrn.Print._.IS._.Exhibits." hidden="1">{"Inc Stmt Dollar",#N/A,FALSE,"IS";"Inc Stmt CS",#N/A,FALSE,"IS"}</definedName>
    <definedName name="wrn.Print._.Ratio._.Exhibits." hidden="1">{"Ratio No.1",#N/A,FALSE,"Ratio";"Ratio No.2",#N/A,FALSE,"Ratio"}</definedName>
    <definedName name="wrn.Print_All." hidden="1">{"Summary",#N/A,FALSE,"Valuation Summary";"Financial Statements",#N/A,FALSE,"Results";"FCF",#N/A,FALSE,"Results"}</definedName>
    <definedName name="wrn.Print_All_S2" hidden="1">{"Summary",#N/A,FALSE,"Valuation Summary";"Financial Statements",#N/A,FALSE,"Results";"FCF",#N/A,FALSE,"Results"}</definedName>
    <definedName name="wrn.Print_FCF." hidden="1">{"FCF",#N/A,FALSE,"Results"}</definedName>
    <definedName name="wrn.Print_FCF_S2" hidden="1">{"FCF",#N/A,FALSE,"Results"}</definedName>
    <definedName name="wrn.Print_Financials." hidden="1">{"Financial Statements",#N/A,FALSE,"Results"}</definedName>
    <definedName name="wrn.Print_Financials_S2" hidden="1">{"Financial Statements",#N/A,FALSE,"Results"}</definedName>
    <definedName name="wrn.Print_Summary." hidden="1">{"Summary",#N/A,FALSE,"Valuation Summary"}</definedName>
    <definedName name="wrn.Print_Summary_S2" hidden="1">{"Summary",#N/A,FALSE,"Valuation Summary"}</definedName>
    <definedName name="wrn.test." hidden="1">{"Valuation_Common",#N/A,FALSE,"Valuation"}</definedName>
    <definedName name="wrn.Umsatz." hidden="1">{#N/A,#N/A,FALSE,"Umsatz";#N/A,#N/A,FALSE,"Base V.02";#N/A,#N/A,FALSE,"Charts"}</definedName>
    <definedName name="wrn.Виробництво._.11._.міс." hidden="1">{#N/A,#N/A,TRUE,"попередні"}</definedName>
    <definedName name="wrn.ку." hidden="1">{#N/A,#N/A,TRUE,"Лист2"}</definedName>
    <definedName name="wrn.Потери." hidden="1">{#N/A,#N/A,TRUE,"ИсхМстржд";#N/A,#N/A,TRUE,"Исх-Центр";#N/A,#N/A,TRUE,"Исх-2рт ";#N/A,#N/A,TRUE,"Исх-2рт ";#N/A,#N/A,TRUE,"Исх-3рт";#N/A,#N/A,TRUE,"Вар1";#N/A,#N/A,TRUE,"Вар2";#N/A,#N/A,TRUE,"Вар2-блоки";#N/A,#N/A,TRUE,"В3-Центр";#N/A,#N/A,TRUE,"В3-2рт";#N/A,#N/A,TRUE,"В3-3рт"}</definedName>
    <definedName name="wrn.Сравнение._.с._.отраслями." hidden="1">{#N/A,#N/A,TRUE,"Лист1";#N/A,#N/A,TRUE,"Лист2";#N/A,#N/A,TRUE,"Лист3"}</definedName>
    <definedName name="ws" hidden="1">{#N/A,#N/A,FALSE,"Aging Summary";#N/A,#N/A,FALSE,"Ratio Analysis";#N/A,#N/A,FALSE,"Test 120 Day Accts";#N/A,#N/A,FALSE,"Tickmarks"}</definedName>
    <definedName name="wtre" hidden="1">{#N/A,#N/A,FALSE,"Aging Summary";#N/A,#N/A,FALSE,"Ratio Analysis";#N/A,#N/A,FALSE,"Test 120 Day Accts";#N/A,#N/A,FALSE,"Tickmarks"}</definedName>
    <definedName name="xsds" hidden="1">{"Summary",#N/A,FALSE,"Valuation Summary";"Financial Statements",#N/A,FALSE,"Results";"FCF",#N/A,FALSE,"Results"}</definedName>
    <definedName name="Z_0DD4EB58_0647_11D5_A6F7_00508B654A95_.wvu.Cols" hidden="1">#REF!,#REF!,#REF!,#REF!,#REF!</definedName>
    <definedName name="Z_10435A81_C305_11D5_A6F8_009027BEE0E0_.wvu.Cols" hidden="1">#REF!,#REF!,#REF!</definedName>
    <definedName name="Z_10435A81_C305_11D5_A6F8_009027BEE0E0_.wvu.FilterData" hidden="1">#REF!</definedName>
    <definedName name="Z_10435A81_C305_11D5_A6F8_009027BEE0E0_.wvu.PrintArea" hidden="1">#REF!</definedName>
    <definedName name="Z_10435A81_C305_11D5_A6F8_009027BEE0E0_.wvu.PrintTitles" hidden="1">#REF!</definedName>
    <definedName name="Z_10435A81_C305_11D5_A6F8_009027BEE0E0_.wvu.Rows" hidden="1">#REF!,#REF!</definedName>
    <definedName name="Z_2804E4BB_ED21_11D4_A6F8_00508B654B8B_.wvu.Cols" hidden="1">#REF!,#REF!,#REF!</definedName>
    <definedName name="Z_2804E4BB_ED21_11D4_A6F8_00508B654B8B_.wvu.FilterData" hidden="1">#REF!</definedName>
    <definedName name="Z_2804E4BB_ED21_11D4_A6F8_00508B654B8B_.wvu.PrintArea" hidden="1">#REF!</definedName>
    <definedName name="Z_2804E4BB_ED21_11D4_A6F8_00508B654B8B_.wvu.Rows" hidden="1">#REF!,#REF!</definedName>
    <definedName name="Z_5A868EA0_ED63_11D4_A6F8_009027BEE0E0_.wvu.Cols" hidden="1">#REF!,#REF!,#REF!</definedName>
    <definedName name="Z_5A868EA0_ED63_11D4_A6F8_009027BEE0E0_.wvu.FilterData" hidden="1">#REF!</definedName>
    <definedName name="Z_5A868EA0_ED63_11D4_A6F8_009027BEE0E0_.wvu.PrintArea" hidden="1">#REF!</definedName>
    <definedName name="Z_5A868EA0_ED63_11D4_A6F8_009027BEE0E0_.wvu.Rows" hidden="1">#REF!,#REF!</definedName>
    <definedName name="Z_6E40955B_C2F5_11D5_A6F7_009027BEE7F1_.wvu.Cols" hidden="1">#REF!,#REF!,#REF!</definedName>
    <definedName name="Z_6E40955B_C2F5_11D5_A6F7_009027BEE7F1_.wvu.FilterData" hidden="1">#REF!</definedName>
    <definedName name="Z_6E40955B_C2F5_11D5_A6F7_009027BEE7F1_.wvu.PrintArea" hidden="1">#REF!</definedName>
    <definedName name="Z_6E40955B_C2F5_11D5_A6F7_009027BEE7F1_.wvu.PrintTitles" hidden="1">#REF!</definedName>
    <definedName name="Z_6E40955B_C2F5_11D5_A6F7_009027BEE7F1_.wvu.Rows" hidden="1">#REF!,#REF!</definedName>
    <definedName name="Z_901DD601_3312_11D5_8F89_00010215A1CA_.wvu.Rows" hidden="1">#REF!,#REF!</definedName>
    <definedName name="Z_A158D6E1_ED44_11D4_A6F7_00508B654028_.wvu.Cols" hidden="1">#REF!,#REF!</definedName>
    <definedName name="Z_A158D6E1_ED44_11D4_A6F7_00508B654028_.wvu.FilterData" hidden="1">#REF!</definedName>
    <definedName name="Z_A158D6E1_ED44_11D4_A6F7_00508B654028_.wvu.PrintArea" hidden="1">#REF!</definedName>
    <definedName name="Z_A158D6E1_ED44_11D4_A6F7_00508B654028_.wvu.Rows" hidden="1">#REF!,#REF!</definedName>
    <definedName name="Z_ADA92181_C3E4_11D5_A6F7_00508B6A7686_.wvu.Cols" hidden="1">#REF!,#REF!,#REF!</definedName>
    <definedName name="Z_ADA92181_C3E4_11D5_A6F7_00508B6A7686_.wvu.FilterData" hidden="1">#REF!</definedName>
    <definedName name="Z_ADA92181_C3E4_11D5_A6F7_00508B6A7686_.wvu.PrintArea" hidden="1">#REF!</definedName>
    <definedName name="Z_ADA92181_C3E4_11D5_A6F7_00508B6A7686_.wvu.PrintTitles" hidden="1">#REF!</definedName>
    <definedName name="Z_ADA92181_C3E4_11D5_A6F7_00508B6A7686_.wvu.Rows" hidden="1">#REF!,#REF!</definedName>
    <definedName name="Z_D4FBBAF2_ED2F_11D4_A6F7_00508B6540C5_.wvu.FilterData" hidden="1">#REF!</definedName>
    <definedName name="Z_D9E68341_C2F0_11D5_A6F7_00508B6540C5_.wvu.Cols" hidden="1">#REF!,#REF!,#REF!</definedName>
    <definedName name="Z_D9E68341_C2F0_11D5_A6F7_00508B6540C5_.wvu.FilterData" hidden="1">#REF!</definedName>
    <definedName name="Z_D9E68341_C2F0_11D5_A6F7_00508B6540C5_.wvu.PrintArea" hidden="1">#REF!</definedName>
    <definedName name="Z_D9E68341_C2F0_11D5_A6F7_00508B6540C5_.wvu.PrintTitles" hidden="1">#REF!</definedName>
    <definedName name="Z_D9E68341_C2F0_11D5_A6F7_00508B6540C5_.wvu.Rows" hidden="1">#REF!</definedName>
    <definedName name="zzz" hidden="1">{"FCF",#N/A,FALSE,"Results"}</definedName>
    <definedName name="аа" hidden="1">{"Valuation_Common",#N/A,FALSE,"Valuation"}</definedName>
    <definedName name="ааа" hidden="1">{#N/A,#N/A,FALSE,"Aging Summary";#N/A,#N/A,FALSE,"Ratio Analysis";#N/A,#N/A,FALSE,"Test 120 Day Accts";#N/A,#N/A,FALSE,"Tickmarks"}</definedName>
    <definedName name="ааппп" hidden="1">{"Valuation_Common",#N/A,FALSE,"Valuation"}</definedName>
    <definedName name="авепо" hidden="1">{"Valuation_Common",#N/A,FALSE,"Valuation"}</definedName>
    <definedName name="аппрр" hidden="1">{"Valuation_Common",#N/A,FALSE,"Valuation"}</definedName>
    <definedName name="борт" hidden="1">{#N/A,#N/A,TRUE,"ИсхМстржд";#N/A,#N/A,TRUE,"Исх-Центр";#N/A,#N/A,TRUE,"Исх-2рт ";#N/A,#N/A,TRUE,"Исх-2рт ";#N/A,#N/A,TRUE,"Исх-3рт";#N/A,#N/A,TRUE,"Вар1";#N/A,#N/A,TRUE,"Вар2";#N/A,#N/A,TRUE,"Вар2-блоки";#N/A,#N/A,TRUE,"В3-Центр";#N/A,#N/A,TRUE,"В3-2рт";#N/A,#N/A,TRUE,"В3-3рт"}</definedName>
    <definedName name="борт2" hidden="1">{#N/A,#N/A,TRUE,"ИсхМстржд";#N/A,#N/A,TRUE,"Исх-Центр";#N/A,#N/A,TRUE,"Исх-2рт ";#N/A,#N/A,TRUE,"Исх-2рт ";#N/A,#N/A,TRUE,"Исх-3рт";#N/A,#N/A,TRUE,"Вар1";#N/A,#N/A,TRUE,"Вар2";#N/A,#N/A,TRUE,"Вар2-блоки";#N/A,#N/A,TRUE,"В3-Центр";#N/A,#N/A,TRUE,"В3-2рт";#N/A,#N/A,TRUE,"В3-3рт"}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ла" hidden="1">{#N/A,#N/A,FALSE,"Aging Summary";#N/A,#N/A,FALSE,"Ratio Analysis";#N/A,#N/A,FALSE,"Test 120 Day Accts";#N/A,#N/A,FALSE,"Tickmarks"}</definedName>
    <definedName name="вс" hidden="1">{#N/A,#N/A,FALSE,"Aging Summary";#N/A,#N/A,FALSE,"Ratio Analysis";#N/A,#N/A,FALSE,"Test 120 Day Accts";#N/A,#N/A,FALSE,"Tickmarks"}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ддддддддд" hidden="1">{"Valuation_Common",#N/A,FALSE,"Valuation"}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копия2" hidden="1">{#N/A,#N/A,FALSE,"Aging Summary";#N/A,#N/A,FALSE,"Ratio Analysis";#N/A,#N/A,FALSE,"Test 120 Day Accts";#N/A,#N/A,FALSE,"Tickmarks"}</definedName>
    <definedName name="лист" hidden="1">{"Valuation_Common",#N/A,FALSE,"Valuation"}</definedName>
    <definedName name="лллллллллллл" hidden="1">{"Valuation_Common",#N/A,FALSE,"Valuation"}</definedName>
    <definedName name="о" hidden="1">{"Valuation_Common",#N/A,FALSE,"Valuation"}</definedName>
    <definedName name="од" hidden="1">{"Valuation_Common",#N/A,FALSE,"Valuation"}</definedName>
    <definedName name="олдж" hidden="1">{"Valuation_Common",#N/A,FALSE,"Valuation"}</definedName>
    <definedName name="ощ" hidden="1">{#N/A,#N/A,TRUE,"ИсхМстржд";#N/A,#N/A,TRUE,"Исх-Центр";#N/A,#N/A,TRUE,"Исх-2рт ";#N/A,#N/A,TRUE,"Исх-2рт ";#N/A,#N/A,TRUE,"Исх-3рт";#N/A,#N/A,TRUE,"Вар1";#N/A,#N/A,TRUE,"Вар2";#N/A,#N/A,TRUE,"Вар2-блоки";#N/A,#N/A,TRUE,"В3-Центр";#N/A,#N/A,TRUE,"В3-2рт";#N/A,#N/A,TRUE,"В3-3рт"}</definedName>
    <definedName name="потери1" hidden="1">{#N/A,#N/A,TRUE,"ИсхМстржд";#N/A,#N/A,TRUE,"Исх-Центр";#N/A,#N/A,TRUE,"Исх-2рт ";#N/A,#N/A,TRUE,"Исх-2рт ";#N/A,#N/A,TRUE,"Исх-3рт";#N/A,#N/A,TRUE,"Вар1";#N/A,#N/A,TRUE,"Вар2";#N/A,#N/A,TRUE,"Вар2-блоки";#N/A,#N/A,TRUE,"В3-Центр";#N/A,#N/A,TRUE,"В3-2рт";#N/A,#N/A,TRUE,"В3-3рт"}</definedName>
    <definedName name="потери2" hidden="1">{#N/A,#N/A,TRUE,"ИсхМстржд";#N/A,#N/A,TRUE,"Исх-Центр";#N/A,#N/A,TRUE,"Исх-2рт ";#N/A,#N/A,TRUE,"Исх-2рт ";#N/A,#N/A,TRUE,"Исх-3рт";#N/A,#N/A,TRUE,"Вар1";#N/A,#N/A,TRUE,"Вар2";#N/A,#N/A,TRUE,"Вар2-блоки";#N/A,#N/A,TRUE,"В3-Центр";#N/A,#N/A,TRUE,"В3-2рт";#N/A,#N/A,TRUE,"В3-3рт"}</definedName>
    <definedName name="прибыль3" hidden="1">{#N/A,#N/A,TRUE,"Лист1";#N/A,#N/A,TRUE,"Лист2";#N/A,#N/A,TRUE,"Лист3"}</definedName>
    <definedName name="привет" hidden="1">{"Valuation_Common",#N/A,FALSE,"Valuation"}</definedName>
    <definedName name="пыпыппывапа" hidden="1">#REF!,#REF!,#REF!</definedName>
    <definedName name="Разное" hidden="1">{"Valuation_Common",#N/A,FALSE,"Valuation"}</definedName>
    <definedName name="рис1" hidden="1">{#N/A,#N/A,TRUE,"Лист1";#N/A,#N/A,TRUE,"Лист2";#N/A,#N/A,TRUE,"Лист3"}</definedName>
    <definedName name="рррррррррр" hidden="1">{"Valuation_Common",#N/A,FALSE,"Valuation"}</definedName>
    <definedName name="Самосвалы" hidden="1">{#N/A,#N/A,TRUE,"ИсхМстржд";#N/A,#N/A,TRUE,"Исх-Центр";#N/A,#N/A,TRUE,"Исх-2рт ";#N/A,#N/A,TRUE,"Исх-2рт ";#N/A,#N/A,TRUE,"Исх-3рт";#N/A,#N/A,TRUE,"Вар1";#N/A,#N/A,TRUE,"Вар2";#N/A,#N/A,TRUE,"Вар2-блоки";#N/A,#N/A,TRUE,"В3-Центр";#N/A,#N/A,TRUE,"В3-2рт";#N/A,#N/A,TRUE,"В3-3рт"}</definedName>
    <definedName name="тп" hidden="1">{#N/A,#N/A,TRUE,"Лист1";#N/A,#N/A,TRUE,"Лист2";#N/A,#N/A,TRUE,"Лист3"}</definedName>
    <definedName name="ттт" hidden="1">{"Valuation_Common",#N/A,FALSE,"Valuation"}</definedName>
    <definedName name="ттттттттттттллллл" hidden="1">{"Valuation_Common",#N/A,FALSE,"Valuation"}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ф" hidden="1">{#N/A,#N/A,FALSE,"Aging Summary";#N/A,#N/A,FALSE,"Ratio Analysis";#N/A,#N/A,FALSE,"Test 120 Day Accts";#N/A,#N/A,FALSE,"Tickmarks"}</definedName>
    <definedName name="фига" hidden="1">{#N/A,#N/A,TRUE,"ИсхМстржд";#N/A,#N/A,TRUE,"Исх-Центр";#N/A,#N/A,TRUE,"Исх-2рт ";#N/A,#N/A,TRUE,"Исх-2рт ";#N/A,#N/A,TRUE,"Исх-3рт";#N/A,#N/A,TRUE,"Вар1";#N/A,#N/A,TRUE,"Вар2";#N/A,#N/A,TRUE,"Вар2-блоки";#N/A,#N/A,TRUE,"В3-Центр";#N/A,#N/A,TRUE,"В3-2рт";#N/A,#N/A,TRUE,"В3-3рт"}</definedName>
    <definedName name="фывыфвыфв" hidden="1">#REF!</definedName>
    <definedName name="ыуаы" hidden="1">{#N/A,#N/A,TRUE,"Лист1";#N/A,#N/A,TRUE,"Лист2";#N/A,#N/A,TRUE,"Лист3"}</definedName>
    <definedName name="юю" hidden="1">{"Valuation_Common",#N/A,FALSE,"Valuation"}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10" i="8" l="1"/>
  <c r="AE9" i="8"/>
  <c r="AE8" i="8"/>
  <c r="AE7" i="8"/>
  <c r="AE6" i="8"/>
  <c r="AE5" i="8"/>
  <c r="AE4" i="8"/>
  <c r="AC10" i="8"/>
  <c r="AC9" i="8"/>
  <c r="AC8" i="8"/>
  <c r="AC7" i="8"/>
  <c r="AC6" i="8"/>
  <c r="AC4" i="8"/>
  <c r="V10" i="8"/>
  <c r="V9" i="8"/>
  <c r="V8" i="8"/>
  <c r="V7" i="8"/>
  <c r="V6" i="8"/>
  <c r="V4" i="8"/>
  <c r="T10" i="8"/>
  <c r="T9" i="8"/>
  <c r="T8" i="8"/>
  <c r="T7" i="8"/>
  <c r="T6" i="8"/>
  <c r="T4" i="8"/>
  <c r="X25" i="8"/>
  <c r="X24" i="8"/>
  <c r="X23" i="8"/>
  <c r="X22" i="8"/>
  <c r="X21" i="8"/>
  <c r="V25" i="8"/>
  <c r="V24" i="8"/>
  <c r="V23" i="8"/>
  <c r="V22" i="8"/>
  <c r="V21" i="8"/>
  <c r="V20" i="8"/>
  <c r="T25" i="8"/>
  <c r="T24" i="8"/>
  <c r="T21" i="8"/>
  <c r="T22" i="8"/>
  <c r="T23" i="8"/>
  <c r="T20" i="8"/>
  <c r="AF24" i="8"/>
  <c r="AF9" i="8"/>
  <c r="AH25" i="8"/>
  <c r="AG25" i="8"/>
  <c r="AH24" i="8"/>
  <c r="AH23" i="8"/>
  <c r="AH22" i="8"/>
  <c r="AH21" i="8"/>
  <c r="AG21" i="8"/>
  <c r="AH20" i="8"/>
  <c r="AG5" i="8"/>
  <c r="AH5" i="8"/>
  <c r="AH6" i="8"/>
  <c r="AH7" i="8"/>
  <c r="AH8" i="8"/>
  <c r="AH9" i="8"/>
  <c r="AG10" i="8"/>
  <c r="AH10" i="8"/>
  <c r="AH4" i="8"/>
  <c r="P25" i="8"/>
  <c r="P24" i="8"/>
  <c r="P23" i="8"/>
  <c r="P22" i="8"/>
  <c r="P21" i="8"/>
  <c r="P20" i="8"/>
  <c r="N25" i="8"/>
  <c r="N24" i="8"/>
  <c r="AG24" i="8" s="1"/>
  <c r="N23" i="8"/>
  <c r="AG23" i="8" s="1"/>
  <c r="N22" i="8"/>
  <c r="AG22" i="8" s="1"/>
  <c r="N21" i="8"/>
  <c r="N20" i="8"/>
  <c r="AG20" i="8" s="1"/>
  <c r="P10" i="8"/>
  <c r="P9" i="8"/>
  <c r="P8" i="8"/>
  <c r="P7" i="8"/>
  <c r="P6" i="8"/>
  <c r="P4" i="8"/>
  <c r="N10" i="8"/>
  <c r="N9" i="8"/>
  <c r="AG9" i="8" s="1"/>
  <c r="N8" i="8"/>
  <c r="AG8" i="8" s="1"/>
  <c r="N7" i="8"/>
  <c r="AG7" i="8" s="1"/>
  <c r="N6" i="8"/>
  <c r="AG6" i="8" s="1"/>
  <c r="N4" i="8"/>
  <c r="AG4" i="8" s="1"/>
  <c r="S25" i="8" l="1"/>
  <c r="S24" i="8"/>
  <c r="S23" i="8"/>
  <c r="S22" i="8"/>
  <c r="S21" i="8"/>
  <c r="S20" i="8"/>
  <c r="Q25" i="8"/>
  <c r="Q24" i="8"/>
  <c r="Q23" i="8"/>
  <c r="Q22" i="8"/>
  <c r="Q21" i="8"/>
  <c r="Q20" i="8"/>
  <c r="S10" i="8"/>
  <c r="S9" i="8"/>
  <c r="S8" i="8"/>
  <c r="S7" i="8"/>
  <c r="S6" i="8"/>
  <c r="S4" i="8"/>
  <c r="Q10" i="8"/>
  <c r="Q9" i="8"/>
  <c r="Q8" i="8"/>
  <c r="Q7" i="8"/>
  <c r="Q6" i="8"/>
  <c r="Q4" i="8"/>
  <c r="AG26" i="8" l="1"/>
  <c r="R4" i="8" l="1"/>
  <c r="R9" i="8"/>
  <c r="R25" i="8"/>
  <c r="R23" i="8"/>
  <c r="R22" i="8"/>
  <c r="R21" i="8"/>
  <c r="R20" i="8"/>
  <c r="R6" i="8"/>
  <c r="R10" i="8" l="1"/>
  <c r="R8" i="8"/>
  <c r="R7" i="8"/>
  <c r="U22" i="8" l="1"/>
  <c r="U20" i="8"/>
  <c r="O25" i="8"/>
  <c r="O24" i="8"/>
  <c r="O20" i="8"/>
  <c r="Z23" i="8"/>
  <c r="U8" i="8"/>
  <c r="O10" i="8"/>
  <c r="O4" i="8"/>
  <c r="J10" i="8"/>
  <c r="J9" i="8"/>
  <c r="J8" i="8"/>
  <c r="AB8" i="8" s="1"/>
  <c r="J7" i="8"/>
  <c r="J6" i="8"/>
  <c r="J4" i="8"/>
  <c r="I4" i="8" s="1"/>
  <c r="H10" i="8"/>
  <c r="H9" i="8"/>
  <c r="H8" i="8"/>
  <c r="H7" i="8"/>
  <c r="H6" i="8"/>
  <c r="H4" i="8"/>
  <c r="U21" i="8" l="1"/>
  <c r="O6" i="8"/>
  <c r="U23" i="8"/>
  <c r="O7" i="8"/>
  <c r="O21" i="8"/>
  <c r="U24" i="8"/>
  <c r="U25" i="8"/>
  <c r="I6" i="8"/>
  <c r="O8" i="8"/>
  <c r="O22" i="8"/>
  <c r="I7" i="8"/>
  <c r="Z7" i="8"/>
  <c r="O9" i="8"/>
  <c r="AB23" i="8"/>
  <c r="AA23" i="8" s="1"/>
  <c r="Z8" i="8"/>
  <c r="AA8" i="8" s="1"/>
  <c r="I8" i="8"/>
  <c r="AG11" i="8"/>
  <c r="I9" i="8"/>
  <c r="O23" i="8"/>
  <c r="I10" i="8"/>
  <c r="M25" i="8"/>
  <c r="M23" i="8"/>
  <c r="M22" i="8"/>
  <c r="M21" i="8"/>
  <c r="M20" i="8"/>
  <c r="K25" i="8"/>
  <c r="K23" i="8"/>
  <c r="K22" i="8"/>
  <c r="K21" i="8"/>
  <c r="K20" i="8"/>
  <c r="M10" i="8"/>
  <c r="M8" i="8"/>
  <c r="M7" i="8"/>
  <c r="M6" i="8"/>
  <c r="M4" i="8"/>
  <c r="K8" i="8"/>
  <c r="L8" i="8" s="1"/>
  <c r="K7" i="8"/>
  <c r="L7" i="8" s="1"/>
  <c r="AC43" i="8" l="1"/>
  <c r="X10" i="8" l="1"/>
  <c r="X8" i="8" l="1"/>
  <c r="X9" i="8"/>
  <c r="X7" i="8"/>
  <c r="X20" i="8"/>
  <c r="X4" i="8"/>
  <c r="X6" i="8"/>
  <c r="G5" i="8" l="1"/>
  <c r="AE39" i="8" l="1"/>
  <c r="W26" i="8"/>
  <c r="Q26" i="8"/>
  <c r="W11" i="8"/>
  <c r="Q11" i="8"/>
  <c r="Z21" i="8" l="1"/>
  <c r="AF25" i="8" l="1"/>
  <c r="AF10" i="8"/>
  <c r="C9" i="3" l="1"/>
  <c r="D9" i="3"/>
  <c r="E9" i="3"/>
  <c r="F9" i="3"/>
  <c r="B9" i="3"/>
  <c r="C13" i="4"/>
  <c r="D13" i="4"/>
  <c r="E13" i="4"/>
  <c r="F13" i="4"/>
  <c r="B13" i="4"/>
  <c r="AC23" i="8" l="1"/>
  <c r="AE43" i="8"/>
  <c r="AD43" i="8" s="1"/>
  <c r="E25" i="8"/>
  <c r="E24" i="8"/>
  <c r="AC24" i="8" s="1"/>
  <c r="E22" i="8"/>
  <c r="E21" i="8"/>
  <c r="E20" i="8"/>
  <c r="E10" i="8"/>
  <c r="E9" i="8"/>
  <c r="E7" i="8"/>
  <c r="E6" i="8"/>
  <c r="E5" i="8"/>
  <c r="E4" i="8"/>
  <c r="AC25" i="8" l="1"/>
  <c r="AC21" i="8"/>
  <c r="AC42" i="8"/>
  <c r="AC44" i="8"/>
  <c r="AC5" i="8"/>
  <c r="AC39" i="8"/>
  <c r="AD39" i="8" s="1"/>
  <c r="AC22" i="8"/>
  <c r="AC20" i="8"/>
  <c r="E26" i="8"/>
  <c r="G22" i="8" s="1"/>
  <c r="K26" i="8"/>
  <c r="AH26" i="8" l="1"/>
  <c r="AD8" i="8"/>
  <c r="AC26" i="8"/>
  <c r="F22" i="8"/>
  <c r="G24" i="8"/>
  <c r="AE24" i="8" s="1"/>
  <c r="AD24" i="8" s="1"/>
  <c r="G25" i="8"/>
  <c r="AE25" i="8" s="1"/>
  <c r="AD25" i="8" s="1"/>
  <c r="G21" i="8"/>
  <c r="G20" i="8"/>
  <c r="F25" i="8" l="1"/>
  <c r="F20" i="8"/>
  <c r="F21" i="8"/>
  <c r="F24" i="8"/>
  <c r="G26" i="8"/>
  <c r="E11" i="8" l="1"/>
  <c r="E12" i="8" s="1"/>
  <c r="D11" i="8"/>
  <c r="D24" i="8"/>
  <c r="Z5" i="8"/>
  <c r="G7" i="8" l="1"/>
  <c r="G6" i="8"/>
  <c r="G4" i="8"/>
  <c r="G9" i="8"/>
  <c r="G10" i="8"/>
  <c r="D9" i="8"/>
  <c r="Z10" i="8"/>
  <c r="D25" i="8"/>
  <c r="Z9" i="8"/>
  <c r="Z25" i="8"/>
  <c r="D5" i="8"/>
  <c r="D10" i="8"/>
  <c r="Z24" i="8"/>
  <c r="AE42" i="8" l="1"/>
  <c r="AD42" i="8" s="1"/>
  <c r="F5" i="8"/>
  <c r="AD5" i="8"/>
  <c r="F7" i="8"/>
  <c r="AD7" i="8"/>
  <c r="F10" i="8"/>
  <c r="F9" i="8"/>
  <c r="F6" i="8"/>
  <c r="F4" i="8"/>
  <c r="G11" i="8"/>
  <c r="G12" i="8" s="1"/>
  <c r="AB5" i="8"/>
  <c r="AA5" i="8" s="1"/>
  <c r="B11" i="4" l="1"/>
  <c r="C12" i="4"/>
  <c r="C11" i="4"/>
  <c r="B12" i="4"/>
  <c r="C8" i="4"/>
  <c r="B8" i="4"/>
  <c r="C7" i="4"/>
  <c r="B7" i="4"/>
  <c r="B6" i="4"/>
  <c r="B5" i="4"/>
  <c r="B18" i="4" l="1"/>
  <c r="B23" i="4" s="1"/>
  <c r="F19" i="4"/>
  <c r="E19" i="4"/>
  <c r="D19" i="4"/>
  <c r="C19" i="4"/>
  <c r="D12" i="4"/>
  <c r="E12" i="4"/>
  <c r="F12" i="4"/>
  <c r="E11" i="4"/>
  <c r="F11" i="4"/>
  <c r="D11" i="4"/>
  <c r="C9" i="4"/>
  <c r="D9" i="4"/>
  <c r="E9" i="4"/>
  <c r="F9" i="4"/>
  <c r="D10" i="4"/>
  <c r="E10" i="4"/>
  <c r="F10" i="4"/>
  <c r="C10" i="4"/>
  <c r="B9" i="4" l="1"/>
  <c r="B17" i="4" s="1"/>
  <c r="D8" i="4"/>
  <c r="E8" i="4"/>
  <c r="F8" i="4"/>
  <c r="E7" i="4"/>
  <c r="F7" i="4"/>
  <c r="D7" i="4"/>
  <c r="F6" i="4"/>
  <c r="E6" i="4"/>
  <c r="D6" i="4"/>
  <c r="C6" i="4"/>
  <c r="F5" i="4"/>
  <c r="E5" i="4"/>
  <c r="D5" i="4"/>
  <c r="C5" i="4"/>
  <c r="B19" i="4"/>
  <c r="E17" i="4" l="1"/>
  <c r="E22" i="4" s="1"/>
  <c r="C18" i="4"/>
  <c r="C23" i="4" s="1"/>
  <c r="D18" i="4"/>
  <c r="D23" i="4" s="1"/>
  <c r="F18" i="4"/>
  <c r="F23" i="4" s="1"/>
  <c r="B22" i="4"/>
  <c r="G19" i="4"/>
  <c r="AF7" i="8" s="1"/>
  <c r="C17" i="4"/>
  <c r="C22" i="4" s="1"/>
  <c r="B20" i="4"/>
  <c r="F17" i="4"/>
  <c r="D17" i="4"/>
  <c r="D20" i="4" s="1"/>
  <c r="E18" i="4"/>
  <c r="B7" i="3"/>
  <c r="G18" i="4" l="1"/>
  <c r="AF6" i="8" s="1"/>
  <c r="F20" i="4"/>
  <c r="C26" i="4"/>
  <c r="C25" i="4"/>
  <c r="E20" i="4"/>
  <c r="E23" i="4"/>
  <c r="F22" i="4"/>
  <c r="C20" i="4"/>
  <c r="D22" i="4"/>
  <c r="G17" i="4"/>
  <c r="AF4" i="8" s="1"/>
  <c r="B15" i="3"/>
  <c r="B6" i="3" l="1"/>
  <c r="B5" i="3"/>
  <c r="C15" i="3"/>
  <c r="D15" i="3"/>
  <c r="E15" i="3"/>
  <c r="F15" i="3"/>
  <c r="C7" i="3"/>
  <c r="C8" i="3"/>
  <c r="D8" i="3"/>
  <c r="E8" i="3"/>
  <c r="F8" i="3"/>
  <c r="D7" i="3"/>
  <c r="E7" i="3"/>
  <c r="F7" i="3"/>
  <c r="F6" i="3"/>
  <c r="E6" i="3"/>
  <c r="D6" i="3"/>
  <c r="C6" i="3"/>
  <c r="F5" i="3"/>
  <c r="E5" i="3"/>
  <c r="D5" i="3"/>
  <c r="C5" i="3"/>
  <c r="G15" i="3" l="1"/>
  <c r="AF22" i="8" s="1"/>
  <c r="C14" i="3"/>
  <c r="B13" i="3"/>
  <c r="F14" i="3"/>
  <c r="D13" i="3"/>
  <c r="D14" i="3"/>
  <c r="B14" i="3"/>
  <c r="C13" i="3"/>
  <c r="C16" i="3" s="1"/>
  <c r="E13" i="3"/>
  <c r="F13" i="3"/>
  <c r="E14" i="3"/>
  <c r="F16" i="3" l="1"/>
  <c r="B16" i="3"/>
  <c r="D16" i="3"/>
  <c r="N26" i="8"/>
  <c r="G14" i="3"/>
  <c r="AF21" i="8" s="1"/>
  <c r="G13" i="3"/>
  <c r="AF20" i="8" s="1"/>
  <c r="AF26" i="8" s="1"/>
  <c r="E16" i="3"/>
  <c r="G16" i="3" l="1"/>
  <c r="T11" i="8"/>
  <c r="H11" i="8"/>
  <c r="T26" i="8"/>
  <c r="N11" i="8"/>
  <c r="H26" i="8"/>
  <c r="J22" i="8" l="1"/>
  <c r="J25" i="8"/>
  <c r="J20" i="8"/>
  <c r="J24" i="8"/>
  <c r="J21" i="8"/>
  <c r="J26" i="8" l="1"/>
  <c r="P11" i="8"/>
  <c r="J11" i="8"/>
  <c r="Z22" i="8"/>
  <c r="D22" i="8"/>
  <c r="D21" i="8"/>
  <c r="D7" i="8"/>
  <c r="D6" i="8"/>
  <c r="Z6" i="8"/>
  <c r="B26" i="8"/>
  <c r="Z20" i="8"/>
  <c r="D20" i="8"/>
  <c r="P26" i="8" l="1"/>
  <c r="V26" i="8"/>
  <c r="AB25" i="8"/>
  <c r="AA25" i="8" s="1"/>
  <c r="AB24" i="8"/>
  <c r="AA24" i="8" s="1"/>
  <c r="D26" i="8"/>
  <c r="Z26" i="8"/>
  <c r="D4" i="8"/>
  <c r="AB20" i="8"/>
  <c r="AB22" i="8"/>
  <c r="AA22" i="8" s="1"/>
  <c r="AB21" i="8"/>
  <c r="AA21" i="8" s="1"/>
  <c r="AB26" i="8" l="1"/>
  <c r="AA20" i="8"/>
  <c r="Z4" i="8"/>
  <c r="Z11" i="8" s="1"/>
  <c r="B11" i="8"/>
  <c r="K10" i="8" l="1"/>
  <c r="K6" i="8"/>
  <c r="L6" i="8" l="1"/>
  <c r="L10" i="8"/>
  <c r="AC45" i="8"/>
  <c r="AC41" i="8"/>
  <c r="K4" i="8"/>
  <c r="L4" i="8" l="1"/>
  <c r="AH11" i="8"/>
  <c r="AE45" i="8"/>
  <c r="AD45" i="8" s="1"/>
  <c r="AD10" i="8"/>
  <c r="K11" i="8"/>
  <c r="AE41" i="8"/>
  <c r="AD6" i="8"/>
  <c r="AC11" i="8" l="1"/>
  <c r="AD4" i="8" l="1"/>
  <c r="AE44" i="8" l="1"/>
  <c r="AD44" i="8" s="1"/>
  <c r="M11" i="8"/>
  <c r="Y11" i="8"/>
  <c r="AD9" i="8" l="1"/>
  <c r="AE11" i="8"/>
  <c r="S11" i="8"/>
  <c r="AC50" i="8" l="1"/>
  <c r="AC40" i="8" l="1"/>
  <c r="AC46" i="8" s="1"/>
  <c r="AC49" i="8"/>
  <c r="AE40" i="8" l="1"/>
  <c r="AD40" i="8" l="1"/>
  <c r="AE46" i="8"/>
  <c r="M26" i="8"/>
  <c r="L25" i="8"/>
  <c r="L21" i="8"/>
  <c r="L20" i="8"/>
  <c r="L22" i="8"/>
  <c r="L23" i="8"/>
  <c r="AE22" i="8" l="1"/>
  <c r="AD22" i="8" s="1"/>
  <c r="AE21" i="8"/>
  <c r="AD21" i="8" s="1"/>
  <c r="Y26" i="8"/>
  <c r="AE23" i="8" l="1"/>
  <c r="AD23" i="8" s="1"/>
  <c r="AE20" i="8"/>
  <c r="S26" i="8"/>
  <c r="AD20" i="8" l="1"/>
  <c r="AE26" i="8"/>
  <c r="U4" i="8"/>
  <c r="AB4" i="8"/>
  <c r="AA4" i="8" s="1"/>
  <c r="AB10" i="8"/>
  <c r="AA10" i="8" s="1"/>
  <c r="AB7" i="8"/>
  <c r="AA7" i="8" s="1"/>
  <c r="U7" i="8"/>
  <c r="V11" i="8"/>
  <c r="AB6" i="8"/>
  <c r="U10" i="8"/>
  <c r="AB9" i="8"/>
  <c r="AA9" i="8" s="1"/>
  <c r="U6" i="8"/>
  <c r="U9" i="8"/>
  <c r="AB11" i="8" l="1"/>
  <c r="AA6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7" authorId="0" shapeId="0" xr:uid="{00000000-0006-0000-0500-00000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трансформаторного включения</t>
        </r>
      </text>
    </comment>
    <comment ref="AF9" authorId="0" shapeId="0" xr:uid="{33528EF7-68C8-427B-8EEA-8C8C664549BF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из расчёта 1 шлюз и 3 роутера на дом</t>
        </r>
      </text>
    </comment>
    <comment ref="AF10" authorId="0" shapeId="0" xr:uid="{1AB945F2-7EBB-40B7-B2EA-33F92661802E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из расчёта 1 шлюз и 3 роутера на дом</t>
        </r>
      </text>
    </comment>
    <comment ref="A22" authorId="0" shapeId="0" xr:uid="{A7A9056F-6103-4D30-BA7C-7053DC8F32B9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трансформаторного включения</t>
        </r>
      </text>
    </comment>
    <comment ref="AF24" authorId="0" shapeId="0" xr:uid="{C038D36F-8746-4710-865A-4B29D3D0B64E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из расчёта 1 шлюз и 3 роутера на дом</t>
        </r>
      </text>
    </comment>
    <comment ref="AF25" authorId="0" shapeId="0" xr:uid="{F6D188C5-69EF-4B3C-B147-7D9BA407DF55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из расчёта 1 шлюз и 3 роутера на дом</t>
        </r>
      </text>
    </comment>
  </commentList>
</comments>
</file>

<file path=xl/sharedStrings.xml><?xml version="1.0" encoding="utf-8"?>
<sst xmlns="http://schemas.openxmlformats.org/spreadsheetml/2006/main" count="151" uniqueCount="49">
  <si>
    <t>1ф</t>
  </si>
  <si>
    <t>3ф</t>
  </si>
  <si>
    <t>кол-во</t>
  </si>
  <si>
    <t>цена
руб. без НДС</t>
  </si>
  <si>
    <t>стоимость
руб. без НДС</t>
  </si>
  <si>
    <t>Санкт-Петербург</t>
  </si>
  <si>
    <t>Ленинградская область</t>
  </si>
  <si>
    <t>1ф ИСУ</t>
  </si>
  <si>
    <t>1ф не ИСУ</t>
  </si>
  <si>
    <t>Каналообр. оборудование (шлюз)</t>
  </si>
  <si>
    <t>Каналообр. оборудование (роутер)</t>
  </si>
  <si>
    <t>быт ОСЭ 1ф</t>
  </si>
  <si>
    <t>быт ОСЭ 3ф</t>
  </si>
  <si>
    <t>ЮЛ ОСЭ 1ф</t>
  </si>
  <si>
    <t>ЮЛ ОСЭ 3ф</t>
  </si>
  <si>
    <t>ОДПУ ОСЭ</t>
  </si>
  <si>
    <t>ОДПУ</t>
  </si>
  <si>
    <t>необходимость установки по адресным спискам</t>
  </si>
  <si>
    <t>Количество приборов учёта для установки потребителям силами гарантирующего поставщика</t>
  </si>
  <si>
    <t>комментарий</t>
  </si>
  <si>
    <t>файлы "быт ЛО ОСЭ_2020.xlsx" и "быт ЛО ОСЭ.xlsx"</t>
  </si>
  <si>
    <t>файлы "Приравненные_ОСЭ_2020.xlsx" и "ЮЛ_ОСЭ.xlsx"</t>
  </si>
  <si>
    <t>файл "ЮЛ_ОСЭ.xlsx"</t>
  </si>
  <si>
    <t>быт ПЭС 1ф</t>
  </si>
  <si>
    <t>быт ПЭС 3ф</t>
  </si>
  <si>
    <t>комментарий: адресная расшифровка установки ПУ</t>
  </si>
  <si>
    <t>ЮЛ офис 1ф</t>
  </si>
  <si>
    <t>ЮЛ офис 3ф</t>
  </si>
  <si>
    <t>файлы "быт СПб ОСЭ_2020.xlsx" и "быт СПб ОСЭ.xlsx"</t>
  </si>
  <si>
    <t>файлы "быт СПб ПЭС_2020.xlsx" и "быт СПб ПЭС.xlsx"</t>
  </si>
  <si>
    <t xml:space="preserve">файл "Адресный список ЮЛ офис.xlsx"; "приравненные СПб_2020.xlsx"; </t>
  </si>
  <si>
    <t>2021 год утверждено</t>
  </si>
  <si>
    <t>2021 год факт</t>
  </si>
  <si>
    <t>2022 год утверждено</t>
  </si>
  <si>
    <t>ОДПУ, встройка прямого включения</t>
  </si>
  <si>
    <t>ОДПУ, встройка полукосвенного включения</t>
  </si>
  <si>
    <t>2023 год утверждено</t>
  </si>
  <si>
    <t>2024 год утверждено</t>
  </si>
  <si>
    <t>2024 год корректировка</t>
  </si>
  <si>
    <t>итого 2021 - 2024 годы утверждено</t>
  </si>
  <si>
    <t>итого 2021 - 2024 годы факт/корректировка</t>
  </si>
  <si>
    <t>необходимое кол-во ПУ для установки до 31.12.2024</t>
  </si>
  <si>
    <t>файл "МКД адреса.xlsx"</t>
  </si>
  <si>
    <t>2022 год факт</t>
  </si>
  <si>
    <t>кол-во за 2 года</t>
  </si>
  <si>
    <t>утв</t>
  </si>
  <si>
    <t>факт</t>
  </si>
  <si>
    <t>2023 год факт</t>
  </si>
  <si>
    <t>кол-во за 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</si>
</sst>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₽&quot;_-;\-* #,##0.00\ &quot;₽&quot;_-;_-* &quot;-&quot;??\ &quot;₽&quot;_-;_-@_-"/>
    <numFmt numFmtId="164" formatCode="#,##0_ ;[Red]\-#,##0\ "/>
    <numFmt numFmtId="165" formatCode="#,##0.00_ ;[Red]\-#,##0.00\ "/>
    <numFmt numFmtId="166" formatCode="0.0%"/>
    <numFmt numFmtId="167" formatCode="_-* #,##0.00_р_._-;\-* #,##0.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5">
    <xf numFmtId="0" fontId="0" fillId="0" borderId="0"/>
    <xf numFmtId="0" fontId="6" fillId="0" borderId="0"/>
    <xf numFmtId="167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</cellStyleXfs>
  <cellXfs count="6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/>
    <xf numFmtId="164" fontId="0" fillId="3" borderId="1" xfId="0" applyNumberFormat="1" applyFill="1" applyBorder="1"/>
    <xf numFmtId="165" fontId="0" fillId="3" borderId="1" xfId="0" applyNumberFormat="1" applyFill="1" applyBorder="1"/>
    <xf numFmtId="164" fontId="0" fillId="0" borderId="0" xfId="0" applyNumberFormat="1"/>
    <xf numFmtId="0" fontId="0" fillId="4" borderId="0" xfId="0" applyFill="1"/>
    <xf numFmtId="0" fontId="0" fillId="4" borderId="1" xfId="0" applyFill="1" applyBorder="1"/>
    <xf numFmtId="164" fontId="0" fillId="4" borderId="1" xfId="0" applyNumberFormat="1" applyFill="1" applyBorder="1"/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164" fontId="0" fillId="0" borderId="1" xfId="0" applyNumberFormat="1" applyFill="1" applyBorder="1" applyAlignment="1">
      <alignment vertical="center"/>
    </xf>
    <xf numFmtId="165" fontId="0" fillId="0" borderId="1" xfId="0" applyNumberFormat="1" applyBorder="1" applyAlignment="1">
      <alignment vertical="center"/>
    </xf>
    <xf numFmtId="164" fontId="0" fillId="0" borderId="1" xfId="0" applyNumberFormat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165" fontId="0" fillId="5" borderId="1" xfId="0" applyNumberFormat="1" applyFill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165" fontId="1" fillId="2" borderId="1" xfId="0" applyNumberFormat="1" applyFont="1" applyFill="1" applyBorder="1" applyAlignment="1">
      <alignment vertical="center"/>
    </xf>
    <xf numFmtId="164" fontId="0" fillId="0" borderId="0" xfId="0" applyNumberFormat="1" applyAlignment="1">
      <alignment vertical="center"/>
    </xf>
    <xf numFmtId="1" fontId="0" fillId="0" borderId="0" xfId="0" applyNumberFormat="1" applyAlignment="1">
      <alignment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2" fillId="0" borderId="0" xfId="0" applyNumberFormat="1" applyFont="1"/>
    <xf numFmtId="165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0" fillId="5" borderId="3" xfId="0" applyFill="1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164" fontId="0" fillId="0" borderId="10" xfId="0" applyNumberFormat="1" applyFill="1" applyBorder="1" applyAlignment="1">
      <alignment vertical="center"/>
    </xf>
    <xf numFmtId="164" fontId="0" fillId="0" borderId="11" xfId="0" applyNumberFormat="1" applyBorder="1" applyAlignment="1">
      <alignment vertical="center"/>
    </xf>
    <xf numFmtId="164" fontId="0" fillId="0" borderId="10" xfId="0" applyNumberFormat="1" applyBorder="1" applyAlignment="1">
      <alignment vertical="center"/>
    </xf>
    <xf numFmtId="164" fontId="0" fillId="5" borderId="10" xfId="0" applyNumberFormat="1" applyFill="1" applyBorder="1" applyAlignment="1">
      <alignment vertical="center"/>
    </xf>
    <xf numFmtId="164" fontId="0" fillId="5" borderId="11" xfId="0" applyNumberFormat="1" applyFill="1" applyBorder="1" applyAlignment="1">
      <alignment vertical="center"/>
    </xf>
    <xf numFmtId="164" fontId="2" fillId="0" borderId="12" xfId="0" applyNumberFormat="1" applyFont="1" applyBorder="1" applyAlignment="1">
      <alignment vertical="center"/>
    </xf>
    <xf numFmtId="0" fontId="0" fillId="0" borderId="13" xfId="0" applyBorder="1" applyAlignment="1">
      <alignment vertical="center"/>
    </xf>
    <xf numFmtId="165" fontId="1" fillId="2" borderId="13" xfId="0" applyNumberFormat="1" applyFont="1" applyFill="1" applyBorder="1" applyAlignment="1">
      <alignment vertical="center"/>
    </xf>
    <xf numFmtId="164" fontId="2" fillId="0" borderId="13" xfId="0" applyNumberFormat="1" applyFont="1" applyBorder="1" applyAlignment="1">
      <alignment vertical="center"/>
    </xf>
    <xf numFmtId="165" fontId="1" fillId="2" borderId="14" xfId="0" applyNumberFormat="1" applyFont="1" applyFill="1" applyBorder="1" applyAlignment="1">
      <alignment vertical="center"/>
    </xf>
    <xf numFmtId="164" fontId="0" fillId="3" borderId="10" xfId="0" applyNumberFormat="1" applyFill="1" applyBorder="1"/>
    <xf numFmtId="165" fontId="0" fillId="3" borderId="11" xfId="0" applyNumberFormat="1" applyFill="1" applyBorder="1"/>
    <xf numFmtId="165" fontId="1" fillId="0" borderId="13" xfId="0" applyNumberFormat="1" applyFont="1" applyFill="1" applyBorder="1" applyAlignment="1">
      <alignment vertical="center"/>
    </xf>
    <xf numFmtId="166" fontId="0" fillId="0" borderId="0" xfId="0" applyNumberForma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/>
    </xf>
    <xf numFmtId="165" fontId="0" fillId="0" borderId="0" xfId="0" applyNumberFormat="1" applyAlignment="1">
      <alignment vertical="center"/>
    </xf>
    <xf numFmtId="0" fontId="0" fillId="0" borderId="1" xfId="0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4" fontId="1" fillId="0" borderId="1" xfId="0" applyNumberFormat="1" applyFont="1" applyBorder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164" fontId="7" fillId="0" borderId="1" xfId="0" applyNumberFormat="1" applyFont="1" applyBorder="1" applyAlignment="1">
      <alignment vertical="center"/>
    </xf>
    <xf numFmtId="0" fontId="0" fillId="4" borderId="1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</cellXfs>
  <cellStyles count="5">
    <cellStyle name="Денежный 2" xfId="3" xr:uid="{10F9C3CA-4A15-4713-ACE3-223DF46CA67C}"/>
    <cellStyle name="Обычный" xfId="0" builtinId="0"/>
    <cellStyle name="Обычный 2" xfId="1" xr:uid="{B60AC81D-1F43-4AB6-932D-B98E3C01168E}"/>
    <cellStyle name="Обычный 2 4" xfId="4" xr:uid="{1AA0B535-9B96-43B7-958C-D09CD695FF84}"/>
    <cellStyle name="Финансовый 2" xfId="2" xr:uid="{A06515FF-E68D-4CDD-8948-1715BCDA655C}"/>
  </cellStyles>
  <dxfs count="0"/>
  <tableStyles count="0" defaultTableStyle="TableStyleMedium2" defaultPivotStyle="PivotStyleLight16"/>
  <colors>
    <mruColors>
      <color rgb="FF99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mos0100\Data\Documents\Projects\RAO%20UES\Sample%20Reports\CEZ\CEZ_Model_16_m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1;&#1071;%20&#1056;&#1069;&#1050;/&#1048;&#1085;&#1074;&#1077;&#1089;&#1090;&#1080;&#1094;&#1080;&#1080;/2021/&#1048;&#1057;&#1059;%202021/&#1072;&#1076;&#1088;&#1077;&#1089;&#1085;&#1072;&#1103;%20&#1073;&#1072;&#1079;&#1072;/&#1040;&#1076;&#1088;&#1077;&#1089;&#1085;&#1099;&#1081;%20&#1089;&#1087;&#1080;&#1089;&#1086;&#1082;%20&#1070;&#1051;%20&#1086;&#1092;&#1080;&#1089;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1;&#1071;%20&#1056;&#1069;&#1050;/&#1048;&#1085;&#1074;&#1077;&#1089;&#1090;&#1080;&#1094;&#1080;&#1080;/2022/&#1052;&#1050;&#1044;%20&#1072;&#1076;&#1088;&#1077;&#1089;&#1072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1;&#1071;%20&#1056;&#1069;&#1050;/&#1048;&#1085;&#1074;&#1077;&#1089;&#1090;&#1080;&#1094;&#1080;&#1080;/2021/&#1048;&#1057;&#1059;%202021/&#1072;&#1076;&#1088;&#1077;&#1089;&#1085;&#1072;&#1103;%20&#1073;&#1072;&#1079;&#1072;/&#1073;&#1099;&#1090;%20&#1051;&#1054;%20&#1054;&#1057;&#1069;_2020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1;&#1071;%20&#1056;&#1069;&#1050;/&#1048;&#1085;&#1074;&#1077;&#1089;&#1090;&#1080;&#1094;&#1080;&#1080;/2021/&#1048;&#1057;&#1059;%202021/&#1072;&#1076;&#1088;&#1077;&#1089;&#1085;&#1072;&#1103;%20&#1073;&#1072;&#1079;&#1072;/&#1073;&#1099;&#1090;%20&#1051;&#1054;%20&#1054;&#1057;&#1069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1;&#1071;%20&#1056;&#1069;&#1050;/&#1048;&#1085;&#1074;&#1077;&#1089;&#1090;&#1080;&#1094;&#1080;&#1080;/2021/&#1092;&#1072;&#1082;&#1090;/&#1048;&#1057;&#1059;%20%202021%20&#1092;&#1072;&#1082;&#1090;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1;&#1071;%20&#1056;&#1069;&#1050;/&#1048;&#1085;&#1074;&#1077;&#1089;&#1090;&#1080;&#1094;&#1080;&#1080;/2023/&#1048;&#1057;&#1059;/&#1048;&#1057;&#1059;%20&#1091;&#1090;&#1074;.%20&#1085;&#1072;%2001.01.23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1;&#1071;%20&#1056;&#1069;&#1050;/&#1048;&#1085;&#1074;&#1077;&#1089;&#1090;&#1080;&#1094;&#1080;&#1080;/2022/&#1092;&#1072;&#1082;&#1090;/&#1048;&#1057;&#1059;%20&#1092;&#1072;&#1082;&#1090;%202022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1;&#1071;%20&#1056;&#1069;&#1050;/&#1048;&#1085;&#1074;&#1077;&#1089;&#1090;&#1080;&#1094;&#1080;&#1080;/2023/&#1048;&#1057;&#1059;/&#1088;&#1072;&#1089;&#1095;&#1105;&#1090;%20&#1048;&#1057;&#1059;%202023_2024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1;&#1071;%20&#1056;&#1069;&#1050;/&#1048;&#1085;&#1074;&#1077;&#1089;&#1090;&#1080;&#1094;&#1080;&#1080;/2023/&#1092;&#1072;&#1082;&#1090;/&#1048;&#1057;&#1059;%20&#1092;&#1072;&#1082;&#1090;%202023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50;&#1044;%20&#1072;&#1076;&#1088;&#1077;&#1089;&#10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errao.ru\test\WINDOWS\TEMP\notesFFF692\&#1053;&#1047;&#1057;%20&#1050;&#1058;&#1069;&#1062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1;&#1071;%20&#1056;&#1069;&#1050;/&#1048;&#1085;&#1074;&#1077;&#1089;&#1090;&#1080;&#1094;&#1080;&#1080;/2021/&#1087;&#1083;&#1072;&#1085;/&#1073;&#1072;&#1079;&#1072;%20&#1048;&#1055;_21-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1;&#1071;%20&#1056;&#1069;&#1050;/&#1048;&#1085;&#1074;&#1077;&#1089;&#1090;&#1080;&#1094;&#1080;&#1080;/2021/&#1048;&#1057;&#1059;%202021/&#1072;&#1076;&#1088;&#1077;&#1089;&#1085;&#1072;&#1103;%20&#1073;&#1072;&#1079;&#1072;/&#1073;&#1099;&#1090;%20&#1057;&#1055;&#1073;%20&#1054;&#1057;&#1069;_2020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1;&#1071;%20&#1056;&#1069;&#1050;/&#1048;&#1085;&#1074;&#1077;&#1089;&#1090;&#1080;&#1094;&#1080;&#1080;/2021/&#1048;&#1057;&#1059;%202021/&#1072;&#1076;&#1088;&#1077;&#1089;&#1085;&#1072;&#1103;%20&#1073;&#1072;&#1079;&#1072;/&#1073;&#1099;&#1090;%20&#1057;&#1055;&#1073;%20&#1054;&#1057;&#1069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1;&#1071;%20&#1056;&#1069;&#1050;/&#1048;&#1085;&#1074;&#1077;&#1089;&#1090;&#1080;&#1094;&#1080;&#1080;/2021/&#1048;&#1057;&#1059;%202021/&#1072;&#1076;&#1088;&#1077;&#1089;&#1085;&#1072;&#1103;%20&#1073;&#1072;&#1079;&#1072;/&#1073;&#1099;&#1090;%20&#1057;&#1055;&#1073;%20&#1055;&#1069;&#1057;_2020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1;&#1071;%20&#1056;&#1069;&#1050;/&#1048;&#1085;&#1074;&#1077;&#1089;&#1090;&#1080;&#1094;&#1080;&#1080;/2021/&#1048;&#1057;&#1059;%202021/&#1072;&#1076;&#1088;&#1077;&#1089;&#1085;&#1072;&#1103;%20&#1073;&#1072;&#1079;&#1072;/&#1073;&#1099;&#1090;%20&#1057;&#1055;&#1073;%20&#1055;&#1069;&#1057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1;&#1071;%20&#1056;&#1069;&#1050;/&#1048;&#1085;&#1074;&#1077;&#1089;&#1090;&#1080;&#1094;&#1080;&#1080;/2021/&#1048;&#1057;&#1059;%202021/&#1072;&#1076;&#1088;&#1077;&#1089;&#1085;&#1072;&#1103;%20&#1073;&#1072;&#1079;&#1072;/&#1055;&#1088;&#1080;&#1088;&#1072;&#1074;&#1085;&#1077;&#1085;&#1085;&#1099;&#1077;_&#1054;&#1057;&#1069;_20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1;&#1071;%20&#1056;&#1069;&#1050;/&#1048;&#1085;&#1074;&#1077;&#1089;&#1090;&#1080;&#1094;&#1080;&#1080;/2021/&#1048;&#1057;&#1059;%202021/&#1072;&#1076;&#1088;&#1077;&#1089;&#1085;&#1072;&#1103;%20&#1073;&#1072;&#1079;&#1072;/&#1070;&#1051;_&#1054;&#1057;&#1069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1;&#1071;%20&#1056;&#1069;&#1050;/&#1048;&#1085;&#1074;&#1077;&#1089;&#1090;&#1080;&#1094;&#1080;&#1080;/2021/&#1048;&#1057;&#1059;%202021/&#1072;&#1076;&#1088;&#1077;&#1089;&#1085;&#1072;&#1103;%20&#1073;&#1072;&#1079;&#1072;/&#1087;&#1088;&#1080;&#1088;&#1072;&#1074;&#1085;&#1077;&#1085;&#1085;&#1099;&#1077;%20&#1057;&#1055;&#1073;_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TREND_tengis&amp;emba"/>
      <sheetName val="стр.145 рос. исп"/>
      <sheetName val="BS_h&amp;#38;p"/>
      <sheetName val="IS_h&amp;#38;p"/>
      <sheetName val="TREND_tengis&amp;#38;emba"/>
      <sheetName val="ДЗО-6"/>
      <sheetName val="Параметры"/>
      <sheetName val="FES"/>
      <sheetName val="Лист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Proforma 2010"/>
      <sheetName val="МОЭСК_РЭТО"/>
      <sheetName val="ДЗ_КЗ"/>
      <sheetName val="Регионы"/>
      <sheetName val="Sheet1"/>
      <sheetName val="Баланс ээ"/>
      <sheetName val="Баланс мощности"/>
      <sheetName val="ЭСО"/>
      <sheetName val="Справочник"/>
      <sheetName val="Рег генер"/>
      <sheetName val="сети"/>
      <sheetName val="regs"/>
      <sheetName val="Свод"/>
      <sheetName val="Справочники"/>
      <sheetName val="GLC_Market_Approach"/>
      <sheetName val="Operating_Data"/>
      <sheetName val="Read_me_first"/>
      <sheetName val="Master_Inputs_Start_here"/>
      <sheetName val="Ф1_АТЭЦ"/>
      <sheetName val="Ф1_ЕТЭЦ"/>
      <sheetName val="Ф1_НГРЭС"/>
      <sheetName val="Ф1_ПТЭЦ"/>
      <sheetName val="Ф1_ЩГРЭС"/>
      <sheetName val="Ф_2_АТЭЦ"/>
      <sheetName val="Ф2_ЕТЭЦ"/>
      <sheetName val="Ф_2_НГРЭС"/>
      <sheetName val="Ф2_ПТЭЦ"/>
      <sheetName val="Ф_2_ЩГРЭС"/>
      <sheetName val="Ввод_данных_ЩГРЭС"/>
      <sheetName val="Ввод_общих_данных"/>
      <sheetName val="Расчет_тарифов_и_выручки"/>
      <sheetName val="стр_145_рос__исп"/>
      <sheetName val="Производство_электроэнергии"/>
      <sheetName val="Т19_1"/>
      <sheetName val="Proforma_2010"/>
      <sheetName val="Баланс_ээ"/>
      <sheetName val="Баланс_мощности"/>
      <sheetName val="Рег_генер"/>
      <sheetName val="12-03 Lease LT mov summary_"/>
      <sheetName val="12-03 Lease ST mov summary_"/>
      <sheetName val="12-03 LT Lease - краткосрочн"/>
      <sheetName val="12-03 LT Lease - долгосроч"/>
      <sheetName val="Проводки"/>
      <sheetName val="Расчет 30.09.2019"/>
      <sheetName val="Расчет 30.06.2019"/>
      <sheetName val="28.06.2019"/>
      <sheetName val="Расчет 31.03.2019"/>
      <sheetName val="28.03.2019"/>
      <sheetName val="новое_в_методе"/>
      <sheetName val="итог 2018 г."/>
      <sheetName val="новыйОБъект ОС"/>
      <sheetName val="30.09.2018_реестр"/>
      <sheetName val="РСБУ_2017_2018"/>
      <sheetName val="Прогноз инфляции"/>
      <sheetName val="Расчет 31.12.2018"/>
      <sheetName val="Расчет 30.09.2018"/>
      <sheetName val="Расчет 30.06.2018"/>
      <sheetName val="Расчет 31.03.2018"/>
      <sheetName val="Расчет 31.12.2017"/>
      <sheetName val="Расчет 30.09.2017"/>
      <sheetName val="Расчет 30.06.2017"/>
      <sheetName val="Расчет 31.03.2017"/>
      <sheetName val="Расчет 31.12.2016"/>
      <sheetName val="29.06.2018"/>
      <sheetName val="31.03.2018"/>
      <sheetName val="Итог 2017 г."/>
      <sheetName val="ставки ЦБ_РФ_2018"/>
      <sheetName val="01.2017 г."/>
      <sheetName val="03.2017 г."/>
      <sheetName val="06.2017 г. "/>
      <sheetName val="Здания"/>
      <sheetName val="в руб._2017"/>
      <sheetName val="в руб._2016"/>
      <sheetName val="2016_отч_по_проводкам"/>
      <sheetName val="USD rates"/>
      <sheetName val="БДР"/>
      <sheetName val="Б_Г"/>
      <sheetName val="Бюджет"/>
      <sheetName val="Data"/>
      <sheetName val="Inventories"/>
      <sheetName val="GLC_Market_Approach1"/>
      <sheetName val="Operating_Data1"/>
      <sheetName val="Read_me_first1"/>
      <sheetName val="Master_Inputs_Start_here1"/>
      <sheetName val="Ф1_АТЭЦ1"/>
      <sheetName val="Ф1_ЕТЭЦ1"/>
      <sheetName val="Ф1_НГРЭС1"/>
      <sheetName val="Ф1_ПТЭЦ1"/>
      <sheetName val="Ф1_ЩГРЭС1"/>
      <sheetName val="Ф_2_АТЭЦ1"/>
      <sheetName val="Ф2_ЕТЭЦ1"/>
      <sheetName val="Ф_2_НГРЭС1"/>
      <sheetName val="Ф2_ПТЭЦ1"/>
      <sheetName val="Ф_2_ЩГРЭС1"/>
      <sheetName val="Ввод_данных_ЩГРЭС1"/>
      <sheetName val="Ввод_общих_данных1"/>
      <sheetName val="Расчет_тарифов_и_выручки1"/>
      <sheetName val="стр_145_рос__исп1"/>
      <sheetName val="Производство_электроэнергии1"/>
      <sheetName val="Т19_11"/>
      <sheetName val="Proforma_20101"/>
      <sheetName val="показатели"/>
      <sheetName val="4"/>
      <sheetName val="Незав.пр-во "/>
      <sheetName val="Лист2"/>
      <sheetName val="assump"/>
      <sheetName val="Ini"/>
      <sheetName val="Списки"/>
      <sheetName val="факт"/>
      <sheetName val=""/>
      <sheetName val="Assumptions and Inputs"/>
      <sheetName val="Master Input Sheet Start Here"/>
      <sheetName val="HBS initial"/>
      <sheetName val="Inputs Sheet"/>
      <sheetName val="Ввод данных Эл.2"/>
      <sheetName val="Ввод данных Эл. 1"/>
      <sheetName val="Ввод данных Эл.3"/>
      <sheetName val="Ввод данных Эл.4"/>
      <sheetName val="Ввод данных Эл. 5"/>
      <sheetName val="HIS initial"/>
      <sheetName val="Б1190-2"/>
      <sheetName val="Б1190-3"/>
      <sheetName val="Б1190"/>
      <sheetName val="Опции"/>
      <sheetName val="Проект"/>
      <sheetName val="Анализ"/>
      <sheetName val="Cost Allocation"/>
      <sheetName val="Grouplist"/>
      <sheetName val="Инфо"/>
      <sheetName val="Поправки"/>
      <sheetName val="XLR_NoRangeSheet"/>
      <sheetName val="предприятия"/>
      <sheetName val="Классиф_"/>
      <sheetName val="Затраты"/>
      <sheetName val="Groupings"/>
      <sheetName val="Список"/>
      <sheetName val="Дебиторы"/>
      <sheetName val="#ССЫЛКА"/>
      <sheetName val="PROJECT"/>
      <sheetName val="BALANCE"/>
      <sheetName val="в тенге"/>
      <sheetName val="Sheet11"/>
      <sheetName val="Лист1"/>
      <sheetName val="60 счет"/>
      <sheetName val="Master_Input_Sheet_Start_Here"/>
      <sheetName val="HBS_initial"/>
      <sheetName val="Inputs_Sheet"/>
      <sheetName val="Ввод_данных_Эл_2"/>
      <sheetName val="Ввод_данных_Эл__1"/>
      <sheetName val="Ввод_данных_Эл_3"/>
      <sheetName val="Ввод_данных_Эл_4"/>
      <sheetName val="Ввод_данных_Эл__5"/>
      <sheetName val="HIS_initial"/>
      <sheetName val="Cost_Allocation"/>
      <sheetName val="60_счет"/>
      <sheetName val="BISales"/>
      <sheetName val="незав. Домодедово"/>
      <sheetName val="Ф1"/>
      <sheetName val="Inputs"/>
      <sheetName val="Допущения"/>
      <sheetName val="Долг"/>
      <sheetName val="ПРР"/>
      <sheetName val="Предположения КАС"/>
      <sheetName val="Ф1 Актив 1-2"/>
      <sheetName val="затр_подх"/>
      <sheetName val="Смета"/>
      <sheetName val="6.Продажа квартир"/>
      <sheetName val="3.ЗАТРАТЫ"/>
      <sheetName val="Аренда Торговля"/>
      <sheetName val="Аренда СТО"/>
      <sheetName val="Дисконт"/>
      <sheetName val="общее"/>
      <sheetName val="исходное"/>
      <sheetName val="ДП_пессимист "/>
      <sheetName val="Glossary"/>
      <sheetName val="Содержание"/>
      <sheetName val="Исх_данные"/>
      <sheetName val="Потоки"/>
      <sheetName val="свед"/>
      <sheetName val="MGSN"/>
      <sheetName val="Rev"/>
      <sheetName val="Ф-1"/>
      <sheetName val="RAS BS+"/>
      <sheetName val="0_33"/>
      <sheetName val="Акты дебиторов"/>
      <sheetName val="comps"/>
      <sheetName val="CEZ_Model_16_m"/>
      <sheetName val="А_Произв-во"/>
      <sheetName val="вводные"/>
      <sheetName val="Коэф-ты"/>
      <sheetName val="Ст"/>
      <sheetName val="Valspar"/>
      <sheetName val="FX Adjustment"/>
      <sheetName val="BDG"/>
      <sheetName val="Paths"/>
      <sheetName val="INDEX"/>
      <sheetName val="Location (Naming)"/>
      <sheetName val="ProductBundleDefinition"/>
      <sheetName val="Location Handling"/>
      <sheetName val="ProductBundle (Naming)"/>
      <sheetName val="Location Cap"/>
      <sheetName val="ProcessMode Coefficients"/>
      <sheetName val="DEPR_NEW"/>
      <sheetName val="Natl Consult Reg."/>
      <sheetName val="Balance sheet"/>
      <sheetName val="Корр-ка_на_сост"/>
      <sheetName val="VAT"/>
      <sheetName val="Assumpt."/>
      <sheetName val="7.1"/>
      <sheetName val="6НК-cт."/>
      <sheetName val="Summary of Value"/>
      <sheetName val="Cash Flows"/>
      <sheetName val="Workings"/>
      <sheetName val="Macroeconomic Assumptions"/>
      <sheetName val="InputTD"/>
      <sheetName val="base-futur2"/>
      <sheetName val="прогноз"/>
      <sheetName val="номенк-будет-п"/>
      <sheetName val="общие сведения"/>
      <sheetName val="Док+Исх"/>
      <sheetName val="исход-итог"/>
      <sheetName val="ТЭП"/>
      <sheetName val="Метод остатка"/>
      <sheetName val="Brif_zdanie"/>
      <sheetName val="Выписка_РФИ"/>
      <sheetName val="Имущество_элементы"/>
      <sheetName val="констр"/>
      <sheetName val="график01.09.02"/>
      <sheetName val="график строительства"/>
      <sheetName val="исх 1"/>
      <sheetName val="СП-земля"/>
      <sheetName val="ОСЗ"/>
      <sheetName val="1.ИСХ "/>
      <sheetName val="9.ДП"/>
      <sheetName val="стр-во склад"/>
      <sheetName val="Сведение объект"/>
      <sheetName val="общие данные"/>
      <sheetName val="Исходник"/>
      <sheetName val="14.ДП"/>
      <sheetName val="7.ЗУ ГУИОН!"/>
      <sheetName val="Компания"/>
      <sheetName val="Сумм"/>
      <sheetName val="Статьи БДДС"/>
      <sheetName val="Doc_Name"/>
      <sheetName val="Коэф_выр-ки"/>
      <sheetName val="Коэф_затрат"/>
      <sheetName val="Спис_Объекты_недв"/>
      <sheetName val="восст"/>
      <sheetName val="1a. Beta extract"/>
      <sheetName val="А5"/>
      <sheetName val="Audit Results"/>
      <sheetName val="Audit Results Upper Stratum"/>
      <sheetName val="Planning"/>
      <sheetName val="Population Characteristics"/>
      <sheetName val="Main"/>
      <sheetName val="Related party"/>
      <sheetName val="Закупки"/>
      <sheetName val="Top Sheet"/>
      <sheetName val="Sampling Parameters"/>
      <sheetName val="Word lists"/>
      <sheetName val="SSF tables"/>
      <sheetName val="ИнвОпись"/>
      <sheetName val="Share Price 2002"/>
      <sheetName val="UNITSCHD"/>
      <sheetName val="PriceSummary"/>
      <sheetName val="сравнение по удаленности"/>
      <sheetName val="Аренда"/>
      <sheetName val="ЗУ_торг"/>
      <sheetName val="Sheet5"/>
      <sheetName val="Assumptions"/>
      <sheetName val="ЗП"/>
      <sheetName val="ЗУ 2015"/>
      <sheetName val="BS_h_p"/>
      <sheetName val="IS_h_p"/>
      <sheetName val="Source"/>
      <sheetName val="Спр"/>
      <sheetName val="B-4"/>
      <sheetName val="Prelim Cost"/>
      <sheetName val="Excav. Prod"/>
      <sheetName val="Rainfall"/>
      <sheetName val="Equip HR"/>
      <sheetName val="Travel &amp; Fuel"/>
      <sheetName val="НСИ Не ТН"/>
      <sheetName val="Gen Data"/>
      <sheetName val="кедровский"/>
      <sheetName val="время"/>
      <sheetName val="справочник для НС "/>
      <sheetName val="Лист7"/>
      <sheetName val="list"/>
      <sheetName val="Dropdown"/>
      <sheetName val="Calc"/>
      <sheetName val="PPA AA"/>
      <sheetName val="Lists"/>
      <sheetName val="Income Statement"/>
      <sheetName val="Группы"/>
      <sheetName val="X"/>
      <sheetName val="X1"/>
      <sheetName val="+5610.04"/>
      <sheetName val="незав__Домодедово"/>
      <sheetName val="Предположения_КАС"/>
      <sheetName val="RAS_BS+"/>
      <sheetName val="Natl_Consult_Reg_"/>
      <sheetName val="Balance_sheet"/>
      <sheetName val="Master_Input_Sheet_Start_Here1"/>
      <sheetName val="HBS_initial1"/>
      <sheetName val="Inputs_Sheet1"/>
      <sheetName val="Ввод_данных_Эл_21"/>
      <sheetName val="Ввод_данных_Эл__11"/>
      <sheetName val="Ввод_данных_Эл_31"/>
      <sheetName val="Ввод_данных_Эл_41"/>
      <sheetName val="Ввод_данных_Эл__51"/>
      <sheetName val="HIS_initial1"/>
      <sheetName val="Cost_Allocation1"/>
      <sheetName val="RAS_BS+1"/>
      <sheetName val="60_счет1"/>
      <sheetName val="незав__Домодедово1"/>
      <sheetName val="Предположения_КАС1"/>
      <sheetName val="Natl_Consult_Reg_1"/>
      <sheetName val="Balance_sheet1"/>
      <sheetName val="GLC_Market_Approach2"/>
      <sheetName val="Operating_Data2"/>
      <sheetName val="Read_me_first2"/>
      <sheetName val="Master_Inputs_Start_here2"/>
      <sheetName val="Ф1_АТЭЦ2"/>
      <sheetName val="Ф1_ЕТЭЦ2"/>
      <sheetName val="Ф1_НГРЭС2"/>
      <sheetName val="Ф1_ПТЭЦ2"/>
      <sheetName val="Ф1_ЩГРЭС2"/>
      <sheetName val="Ф_2_АТЭЦ2"/>
      <sheetName val="Ф2_ЕТЭЦ2"/>
      <sheetName val="Ф_2_НГРЭС2"/>
      <sheetName val="Ф2_ПТЭЦ2"/>
      <sheetName val="Ф_2_ЩГРЭС2"/>
      <sheetName val="Ввод_данных_ЩГРЭС2"/>
      <sheetName val="Ввод_общих_данных2"/>
      <sheetName val="Расчет_тарифов_и_выручки2"/>
      <sheetName val="Master_Input_Sheet_Start_Here2"/>
      <sheetName val="HBS_initial2"/>
      <sheetName val="Inputs_Sheet2"/>
      <sheetName val="Ввод_данных_Эл_22"/>
      <sheetName val="Ввод_данных_Эл__12"/>
      <sheetName val="Ввод_данных_Эл_32"/>
      <sheetName val="Ввод_данных_Эл_42"/>
      <sheetName val="Ввод_данных_Эл__52"/>
      <sheetName val="HIS_initial2"/>
      <sheetName val="Производство_электроэнергии2"/>
      <sheetName val="Т19_12"/>
      <sheetName val="Cost_Allocation2"/>
      <sheetName val="RAS_BS+2"/>
      <sheetName val="60_счет2"/>
      <sheetName val="незав__Домодедово2"/>
      <sheetName val="Предположения_КАС2"/>
      <sheetName val="Natl_Consult_Reg_2"/>
      <sheetName val="Balance_sheet2"/>
      <sheetName val="GLC_Market_Approach3"/>
      <sheetName val="Operating_Data3"/>
      <sheetName val="Read_me_first3"/>
      <sheetName val="Master_Inputs_Start_here3"/>
      <sheetName val="Ф1_АТЭЦ3"/>
      <sheetName val="Ф1_ЕТЭЦ3"/>
      <sheetName val="Ф1_НГРЭС3"/>
      <sheetName val="Ф1_ПТЭЦ3"/>
      <sheetName val="Ф1_ЩГРЭС3"/>
      <sheetName val="Ф_2_АТЭЦ3"/>
      <sheetName val="Ф2_ЕТЭЦ3"/>
      <sheetName val="Ф_2_НГРЭС3"/>
      <sheetName val="Ф2_ПТЭЦ3"/>
      <sheetName val="Ф_2_ЩГРЭС3"/>
      <sheetName val="Ввод_данных_ЩГРЭС3"/>
      <sheetName val="Ввод_общих_данных3"/>
      <sheetName val="Расчет_тарифов_и_выручки3"/>
      <sheetName val="Master_Input_Sheet_Start_Here3"/>
      <sheetName val="HBS_initial3"/>
      <sheetName val="Inputs_Sheet3"/>
      <sheetName val="Ввод_данных_Эл_23"/>
      <sheetName val="Ввод_данных_Эл__13"/>
      <sheetName val="Ввод_данных_Эл_33"/>
      <sheetName val="Ввод_данных_Эл_43"/>
      <sheetName val="Ввод_данных_Эл__53"/>
      <sheetName val="HIS_initial3"/>
      <sheetName val="Производство_электроэнергии3"/>
      <sheetName val="Т19_13"/>
      <sheetName val="Cost_Allocation3"/>
      <sheetName val="RAS_BS+3"/>
      <sheetName val="60_счет3"/>
      <sheetName val="незав__Домодедово3"/>
      <sheetName val="Предположения_КАС3"/>
      <sheetName val="Natl_Consult_Reg_3"/>
      <sheetName val="Balance_sheet3"/>
      <sheetName val="GLC_Market_Approach4"/>
      <sheetName val="Operating_Data4"/>
      <sheetName val="Read_me_first4"/>
      <sheetName val="Master_Inputs_Start_here4"/>
      <sheetName val="Ф1_АТЭЦ4"/>
      <sheetName val="Ф1_ЕТЭЦ4"/>
      <sheetName val="Ф1_НГРЭС4"/>
      <sheetName val="Ф1_ПТЭЦ4"/>
      <sheetName val="Ф1_ЩГРЭС4"/>
      <sheetName val="Ф_2_АТЭЦ4"/>
      <sheetName val="Ф2_ЕТЭЦ4"/>
      <sheetName val="Ф_2_НГРЭС4"/>
      <sheetName val="Ф2_ПТЭЦ4"/>
      <sheetName val="Ф_2_ЩГРЭС4"/>
      <sheetName val="Ввод_данных_ЩГРЭС4"/>
      <sheetName val="Ввод_общих_данных4"/>
      <sheetName val="Расчет_тарифов_и_выручки4"/>
      <sheetName val="Master_Input_Sheet_Start_Here4"/>
      <sheetName val="HBS_initial4"/>
      <sheetName val="Inputs_Sheet4"/>
      <sheetName val="Ввод_данных_Эл_24"/>
      <sheetName val="Ввод_данных_Эл__14"/>
      <sheetName val="Ввод_данных_Эл_34"/>
      <sheetName val="Ввод_данных_Эл_44"/>
      <sheetName val="Ввод_данных_Эл__54"/>
      <sheetName val="HIS_initial4"/>
      <sheetName val="Производство_электроэнергии4"/>
      <sheetName val="Т19_14"/>
      <sheetName val="Cost_Allocation4"/>
      <sheetName val="RAS_BS+4"/>
      <sheetName val="60_счет4"/>
      <sheetName val="незав__Домодедово4"/>
      <sheetName val="Предположения_КАС4"/>
      <sheetName val="Natl_Consult_Reg_4"/>
      <sheetName val="Balance_sheet4"/>
      <sheetName val="Фин.вложения"/>
      <sheetName val="VFI"/>
      <sheetName val="LTRate"/>
      <sheetName val="Ки"/>
      <sheetName val="Regions"/>
      <sheetName val="Tab1"/>
      <sheetName val="Tab2-X"/>
      <sheetName val="Tab2-1"/>
      <sheetName val="Tab3"/>
      <sheetName val="CAD"/>
      <sheetName val="списки госконтрактов"/>
      <sheetName val="Списки контрактов"/>
      <sheetName val="Справочник для ПП "/>
      <sheetName val="s"/>
      <sheetName val="Дата"/>
      <sheetName val="Util Penalty"/>
      <sheetName val="BK_FRP"/>
      <sheetName val="BK cast h"/>
      <sheetName val="EEP RCNs"/>
      <sheetName val="SMZ_FRP"/>
      <sheetName val="УФ-61"/>
      <sheetName val="Страхование имущества"/>
      <sheetName val="Диаграммы"/>
      <sheetName val="F1_SPRAV"/>
      <sheetName val="СРАВН 47"/>
      <sheetName val="Var"/>
      <sheetName val="DD&amp;A"/>
      <sheetName val="Tep"/>
      <sheetName val="ТТЗ опт"/>
      <sheetName val="Аналог 2"/>
      <sheetName val="регион"/>
      <sheetName val="Общие"/>
      <sheetName val="Sheet3"/>
      <sheetName val="1.ИСХ"/>
      <sheetName val="документы Кириши"/>
      <sheetName val="Резервы"/>
      <sheetName val="Сведение_объект"/>
      <sheetName val="общие_данные"/>
      <sheetName val="Аренда_Торговля"/>
      <sheetName val="Аренда_СТО"/>
      <sheetName val="график01_09_02"/>
      <sheetName val="Метод_остатка"/>
      <sheetName val="14_ДП"/>
      <sheetName val="1_ИСХ_"/>
      <sheetName val="7_ЗУ_ГУИОН!"/>
      <sheetName val="исх_1"/>
      <sheetName val="1_ИСХ"/>
      <sheetName val="документы_Кириши"/>
      <sheetName val="Титул"/>
      <sheetName val="2006 $"/>
      <sheetName val="прогноз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/>
      <sheetData sheetId="343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"/>
      <sheetName val="непром"/>
    </sheetNames>
    <sheetDataSet>
      <sheetData sheetId="0">
        <row r="225">
          <cell r="B225">
            <v>3</v>
          </cell>
          <cell r="C225">
            <v>7</v>
          </cell>
          <cell r="D225">
            <v>29</v>
          </cell>
          <cell r="E225">
            <v>13</v>
          </cell>
        </row>
        <row r="226">
          <cell r="B226">
            <v>9</v>
          </cell>
          <cell r="C226">
            <v>14</v>
          </cell>
          <cell r="D226">
            <v>35</v>
          </cell>
          <cell r="E226">
            <v>39</v>
          </cell>
        </row>
      </sheetData>
      <sheetData sheetId="1">
        <row r="1251">
          <cell r="B1251">
            <v>214</v>
          </cell>
          <cell r="C1251">
            <v>465</v>
          </cell>
          <cell r="D1251">
            <v>478</v>
          </cell>
        </row>
        <row r="1252">
          <cell r="B1252">
            <v>17</v>
          </cell>
          <cell r="C1252">
            <v>9</v>
          </cell>
          <cell r="D1252">
            <v>19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РБП"/>
      <sheetName val="УРНП"/>
      <sheetName val="УРКП"/>
      <sheetName val="ОСЭ"/>
      <sheetName val="свод"/>
    </sheetNames>
    <sheetDataSet>
      <sheetData sheetId="0"/>
      <sheetData sheetId="1"/>
      <sheetData sheetId="2"/>
      <sheetData sheetId="3"/>
      <sheetData sheetId="4">
        <row r="3">
          <cell r="C3">
            <v>20334</v>
          </cell>
          <cell r="D3">
            <v>96</v>
          </cell>
          <cell r="E3">
            <v>74</v>
          </cell>
          <cell r="F3">
            <v>124</v>
          </cell>
          <cell r="G3">
            <v>85</v>
          </cell>
        </row>
        <row r="4">
          <cell r="C4">
            <v>5073</v>
          </cell>
          <cell r="D4">
            <v>49</v>
          </cell>
          <cell r="E4">
            <v>94</v>
          </cell>
          <cell r="F4">
            <v>107</v>
          </cell>
          <cell r="G4">
            <v>76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ен область"/>
      <sheetName val="свод"/>
    </sheetNames>
    <sheetDataSet>
      <sheetData sheetId="0"/>
      <sheetData sheetId="1">
        <row r="5">
          <cell r="B5">
            <v>25104</v>
          </cell>
        </row>
        <row r="6">
          <cell r="B6">
            <v>169</v>
          </cell>
        </row>
        <row r="7">
          <cell r="B7">
            <v>5388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1_1-ф"/>
      <sheetName val="2021_3-ф"/>
      <sheetName val="2022_1-ф"/>
      <sheetName val="2022_3-ф"/>
      <sheetName val="2023_1-ф"/>
      <sheetName val="2023_3-ф"/>
      <sheetName val="2024_1-ф"/>
      <sheetName val="2024_3-ф"/>
    </sheetNames>
    <sheetDataSet>
      <sheetData sheetId="0">
        <row r="4609">
          <cell r="A4609">
            <v>4607</v>
          </cell>
        </row>
      </sheetData>
      <sheetData sheetId="1">
        <row r="39">
          <cell r="A39">
            <v>37</v>
          </cell>
        </row>
      </sheetData>
      <sheetData sheetId="2">
        <row r="12028">
          <cell r="A12028">
            <v>12026</v>
          </cell>
        </row>
      </sheetData>
      <sheetData sheetId="3">
        <row r="237">
          <cell r="A237">
            <v>235</v>
          </cell>
        </row>
      </sheetData>
      <sheetData sheetId="4">
        <row r="5654">
          <cell r="A5654">
            <v>5652</v>
          </cell>
        </row>
      </sheetData>
      <sheetData sheetId="5">
        <row r="133">
          <cell r="A133">
            <v>131</v>
          </cell>
        </row>
      </sheetData>
      <sheetData sheetId="6">
        <row r="9102">
          <cell r="A9102">
            <v>9100</v>
          </cell>
        </row>
      </sheetData>
      <sheetData sheetId="7">
        <row r="128">
          <cell r="A128">
            <v>126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расш"/>
      <sheetName val="ввод 2021"/>
    </sheetNames>
    <sheetDataSet>
      <sheetData sheetId="0"/>
      <sheetData sheetId="1"/>
      <sheetData sheetId="2">
        <row r="4">
          <cell r="D4">
            <v>49900</v>
          </cell>
        </row>
        <row r="6">
          <cell r="D6">
            <v>211960230</v>
          </cell>
        </row>
        <row r="7">
          <cell r="D7">
            <v>111370</v>
          </cell>
          <cell r="E7">
            <v>16348</v>
          </cell>
        </row>
        <row r="9">
          <cell r="D9">
            <v>564634763</v>
          </cell>
          <cell r="E9">
            <v>82882725.199999988</v>
          </cell>
        </row>
        <row r="10">
          <cell r="D10">
            <v>92118</v>
          </cell>
          <cell r="E10">
            <v>0</v>
          </cell>
        </row>
        <row r="12">
          <cell r="D12">
            <v>601456845.5999999</v>
          </cell>
          <cell r="E12">
            <v>0</v>
          </cell>
        </row>
        <row r="16">
          <cell r="D16">
            <v>17749348.77</v>
          </cell>
          <cell r="E16">
            <v>691744.45</v>
          </cell>
        </row>
        <row r="19">
          <cell r="D19">
            <v>19180304</v>
          </cell>
          <cell r="E19"/>
        </row>
        <row r="20">
          <cell r="D20">
            <v>4007</v>
          </cell>
          <cell r="E20">
            <v>85</v>
          </cell>
        </row>
        <row r="21">
          <cell r="D21">
            <v>1568</v>
          </cell>
          <cell r="E21">
            <v>98</v>
          </cell>
        </row>
        <row r="24">
          <cell r="D24">
            <v>24626762.440000001</v>
          </cell>
          <cell r="E24">
            <v>1240701.9100000001</v>
          </cell>
        </row>
        <row r="27">
          <cell r="D27">
            <v>1155620.1400000001</v>
          </cell>
          <cell r="E27">
            <v>16276.340000000002</v>
          </cell>
        </row>
        <row r="30">
          <cell r="D30">
            <v>5528284.5600000005</v>
          </cell>
          <cell r="E30">
            <v>691035.57000000007</v>
          </cell>
        </row>
        <row r="33">
          <cell r="D33">
            <v>670723.68000000005</v>
          </cell>
          <cell r="E33">
            <v>27946.820000000003</v>
          </cell>
        </row>
        <row r="36">
          <cell r="D36">
            <v>2808870.9</v>
          </cell>
          <cell r="E36">
            <v>357492.66</v>
          </cell>
        </row>
        <row r="37">
          <cell r="D37">
            <v>3736</v>
          </cell>
          <cell r="E37">
            <v>377</v>
          </cell>
        </row>
        <row r="39">
          <cell r="D39">
            <v>69749775.040000007</v>
          </cell>
          <cell r="E39">
            <v>6868804.2800000012</v>
          </cell>
        </row>
        <row r="40">
          <cell r="D40">
            <v>11223</v>
          </cell>
          <cell r="E40">
            <v>1120</v>
          </cell>
        </row>
        <row r="42">
          <cell r="D42">
            <v>148691394.63000003</v>
          </cell>
          <cell r="E42">
            <v>14334667.200000001</v>
          </cell>
        </row>
        <row r="44">
          <cell r="D44">
            <v>1084659.6599999999</v>
          </cell>
          <cell r="E44">
            <v>69239.65000000014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</sheetNames>
    <sheetDataSet>
      <sheetData sheetId="0">
        <row r="4">
          <cell r="H4">
            <v>95486</v>
          </cell>
          <cell r="J4">
            <v>761377673.06000006</v>
          </cell>
        </row>
        <row r="6">
          <cell r="H6">
            <v>1269</v>
          </cell>
          <cell r="J6">
            <v>15765713.369999999</v>
          </cell>
        </row>
        <row r="7">
          <cell r="H7">
            <v>2797</v>
          </cell>
          <cell r="J7">
            <v>81036026.560000002</v>
          </cell>
        </row>
        <row r="8">
          <cell r="H8">
            <v>2796</v>
          </cell>
          <cell r="J8">
            <v>75273660.359999999</v>
          </cell>
        </row>
        <row r="9">
          <cell r="H9">
            <v>210</v>
          </cell>
          <cell r="J9">
            <v>7044414.3000000007</v>
          </cell>
        </row>
        <row r="10">
          <cell r="H10">
            <v>634</v>
          </cell>
          <cell r="J10">
            <v>9047313.1399999987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по ТСН-2001"/>
      <sheetName val="пг_отчёт"/>
      <sheetName val="9мес_отчёт"/>
      <sheetName val="год_отчёт"/>
      <sheetName val="СПб"/>
      <sheetName val="Область"/>
      <sheetName val="Всего ПУ"/>
      <sheetName val="Лист1"/>
      <sheetName val="КС-3"/>
      <sheetName val="Июнь"/>
      <sheetName val="Ход проекта"/>
      <sheetName val="Source"/>
      <sheetName val="SourceObSm"/>
      <sheetName val="SmtRes"/>
      <sheetName val="EtalonRes"/>
    </sheetNames>
    <sheetDataSet>
      <sheetData sheetId="0"/>
      <sheetData sheetId="1"/>
      <sheetData sheetId="2"/>
      <sheetData sheetId="3">
        <row r="40">
          <cell r="B40">
            <v>104639</v>
          </cell>
          <cell r="C40">
            <v>12279</v>
          </cell>
        </row>
        <row r="41">
          <cell r="B41">
            <v>9076</v>
          </cell>
          <cell r="C41">
            <v>99</v>
          </cell>
        </row>
        <row r="43">
          <cell r="B43">
            <v>3333</v>
          </cell>
          <cell r="C43">
            <v>315</v>
          </cell>
        </row>
        <row r="44">
          <cell r="B44">
            <v>170</v>
          </cell>
          <cell r="C44">
            <v>27</v>
          </cell>
        </row>
        <row r="45">
          <cell r="B45">
            <v>3193</v>
          </cell>
          <cell r="C45">
            <v>200</v>
          </cell>
        </row>
        <row r="51">
          <cell r="B51">
            <v>716308542.60000002</v>
          </cell>
          <cell r="C51">
            <v>94491824.790000021</v>
          </cell>
        </row>
        <row r="52">
          <cell r="B52">
            <v>95858635.980000004</v>
          </cell>
          <cell r="C52">
            <v>1053314.24</v>
          </cell>
        </row>
        <row r="54">
          <cell r="B54">
            <v>88936388.310000017</v>
          </cell>
          <cell r="C54">
            <v>8332877.0499999998</v>
          </cell>
        </row>
        <row r="55">
          <cell r="B55">
            <v>2855984.89</v>
          </cell>
          <cell r="C55">
            <v>461394.25</v>
          </cell>
        </row>
        <row r="56">
          <cell r="B56">
            <v>45564780.530000001</v>
          </cell>
          <cell r="C56">
            <v>2854042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основания СПб"/>
      <sheetName val="обоснования ЛО"/>
      <sheetName val="свод"/>
      <sheetName val="ПСК_2023"/>
      <sheetName val="2023 СПб"/>
      <sheetName val="2023 ЛО"/>
      <sheetName val="2024 СПб"/>
      <sheetName val="2024 ЛО"/>
    </sheetNames>
    <sheetDataSet>
      <sheetData sheetId="0"/>
      <sheetData sheetId="1"/>
      <sheetData sheetId="2">
        <row r="4">
          <cell r="Q4">
            <v>62065</v>
          </cell>
          <cell r="S4">
            <v>546479568.04999995</v>
          </cell>
        </row>
        <row r="6">
          <cell r="Q6">
            <v>2068</v>
          </cell>
          <cell r="S6">
            <v>39936978.830000006</v>
          </cell>
        </row>
        <row r="7">
          <cell r="Q7">
            <v>6060</v>
          </cell>
          <cell r="S7">
            <v>217449254.94999999</v>
          </cell>
        </row>
        <row r="8">
          <cell r="Q8">
            <v>747</v>
          </cell>
          <cell r="S8">
            <v>19382623.290000003</v>
          </cell>
        </row>
        <row r="9">
          <cell r="Q9">
            <v>1955</v>
          </cell>
          <cell r="S9">
            <v>108351945.45</v>
          </cell>
        </row>
        <row r="10">
          <cell r="Q10">
            <v>5867</v>
          </cell>
          <cell r="S10">
            <v>97304664.360000014</v>
          </cell>
        </row>
        <row r="20">
          <cell r="Q20">
            <v>8647</v>
          </cell>
          <cell r="S20">
            <v>75617093.430000007</v>
          </cell>
          <cell r="W20">
            <v>6909</v>
          </cell>
          <cell r="Y20">
            <v>80752660.04033792</v>
          </cell>
        </row>
        <row r="21">
          <cell r="Q21">
            <v>338</v>
          </cell>
          <cell r="S21">
            <v>7650812.7200000007</v>
          </cell>
          <cell r="W21">
            <v>119</v>
          </cell>
          <cell r="Y21">
            <v>2702349.9305851543</v>
          </cell>
        </row>
        <row r="22">
          <cell r="Q22">
            <v>711</v>
          </cell>
          <cell r="S22">
            <v>24883774.539999999</v>
          </cell>
          <cell r="W22">
            <v>760</v>
          </cell>
          <cell r="Y22">
            <v>34572308.980040237</v>
          </cell>
        </row>
        <row r="23">
          <cell r="Q23">
            <v>106</v>
          </cell>
          <cell r="S23">
            <v>2485358.27</v>
          </cell>
          <cell r="W23">
            <v>66</v>
          </cell>
          <cell r="Y23">
            <v>2789765.6326837502</v>
          </cell>
        </row>
        <row r="24">
          <cell r="Q24">
            <v>215</v>
          </cell>
          <cell r="S24">
            <v>11915942.85</v>
          </cell>
          <cell r="W24">
            <v>394</v>
          </cell>
          <cell r="Y24">
            <v>27597530.815092046</v>
          </cell>
        </row>
        <row r="25">
          <cell r="Q25">
            <v>644</v>
          </cell>
          <cell r="S25">
            <v>10680791.520000001</v>
          </cell>
          <cell r="W25">
            <v>1182</v>
          </cell>
          <cell r="Y25">
            <v>24552130.87517827</v>
          </cell>
        </row>
        <row r="28">
          <cell r="W28">
            <v>400</v>
          </cell>
          <cell r="Y28">
            <v>28017797.781819336</v>
          </cell>
        </row>
        <row r="29">
          <cell r="W29">
            <v>1200</v>
          </cell>
          <cell r="Y29">
            <v>24926021.193074383</v>
          </cell>
        </row>
        <row r="36">
          <cell r="W36">
            <v>59363</v>
          </cell>
          <cell r="Y36">
            <v>601423811.64227915</v>
          </cell>
        </row>
        <row r="38">
          <cell r="W38">
            <v>1820</v>
          </cell>
          <cell r="Y38">
            <v>35845578.030251943</v>
          </cell>
        </row>
        <row r="39">
          <cell r="W39">
            <v>7972</v>
          </cell>
          <cell r="Y39">
            <v>336843693.13654816</v>
          </cell>
        </row>
        <row r="40">
          <cell r="W40">
            <v>732</v>
          </cell>
          <cell r="Y40">
            <v>28962180.087405704</v>
          </cell>
        </row>
        <row r="41">
          <cell r="W41">
            <v>2226</v>
          </cell>
          <cell r="Y41">
            <v>133686773.2083279</v>
          </cell>
        </row>
        <row r="42">
          <cell r="W42">
            <v>6665</v>
          </cell>
          <cell r="Y42">
            <v>119781894.48518737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по ТСН-2001"/>
      <sheetName val="1пг"/>
      <sheetName val="9мес"/>
      <sheetName val="год"/>
      <sheetName val="Source"/>
      <sheetName val="SourceObSm"/>
      <sheetName val="SmtRes"/>
      <sheetName val="EtalonRes"/>
    </sheetNames>
    <sheetDataSet>
      <sheetData sheetId="0" refreshError="1"/>
      <sheetData sheetId="1" refreshError="1"/>
      <sheetData sheetId="2" refreshError="1"/>
      <sheetData sheetId="3">
        <row r="76">
          <cell r="B76">
            <v>60681</v>
          </cell>
          <cell r="C76">
            <v>505318032.82999992</v>
          </cell>
          <cell r="D76">
            <v>9665</v>
          </cell>
          <cell r="E76">
            <v>84519615.530000016</v>
          </cell>
        </row>
        <row r="77">
          <cell r="B77">
            <v>3217</v>
          </cell>
          <cell r="C77">
            <v>54317973.239999987</v>
          </cell>
          <cell r="D77">
            <v>90</v>
          </cell>
          <cell r="E77">
            <v>1583128.5200000003</v>
          </cell>
        </row>
        <row r="78">
          <cell r="B78">
            <v>56</v>
          </cell>
          <cell r="C78">
            <v>1773255.12</v>
          </cell>
        </row>
        <row r="79">
          <cell r="B79">
            <v>342</v>
          </cell>
          <cell r="C79">
            <v>6835027.8299999991</v>
          </cell>
          <cell r="D79">
            <v>141</v>
          </cell>
          <cell r="E79">
            <v>2783152.3699999996</v>
          </cell>
        </row>
        <row r="80">
          <cell r="B80">
            <v>6369</v>
          </cell>
          <cell r="C80">
            <v>218233539.50999996</v>
          </cell>
          <cell r="D80">
            <v>982</v>
          </cell>
          <cell r="E80">
            <v>33660792.18</v>
          </cell>
        </row>
        <row r="81">
          <cell r="B81">
            <v>1000</v>
          </cell>
          <cell r="C81">
            <v>55422990</v>
          </cell>
          <cell r="D81">
            <v>0</v>
          </cell>
          <cell r="E81">
            <v>0</v>
          </cell>
        </row>
        <row r="82">
          <cell r="B82">
            <v>11275</v>
          </cell>
          <cell r="C82">
            <v>186996777.00000003</v>
          </cell>
          <cell r="D82">
            <v>644</v>
          </cell>
          <cell r="E82">
            <v>10680791.520000001</v>
          </cell>
        </row>
      </sheetData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РБП"/>
      <sheetName val="УРНП"/>
      <sheetName val="УРКП"/>
      <sheetName val="ОСЭ"/>
      <sheetName val="свод"/>
    </sheetNames>
    <sheetDataSet>
      <sheetData sheetId="0"/>
      <sheetData sheetId="1"/>
      <sheetData sheetId="2"/>
      <sheetData sheetId="3"/>
      <sheetData sheetId="4">
        <row r="3">
          <cell r="C3">
            <v>20334</v>
          </cell>
          <cell r="D3">
            <v>96</v>
          </cell>
          <cell r="E3">
            <v>74</v>
          </cell>
          <cell r="F3">
            <v>124</v>
          </cell>
          <cell r="G3">
            <v>85</v>
          </cell>
        </row>
        <row r="4">
          <cell r="C4">
            <v>5073</v>
          </cell>
          <cell r="D4">
            <v>49</v>
          </cell>
          <cell r="E4">
            <v>94</v>
          </cell>
          <cell r="F4">
            <v>107</v>
          </cell>
          <cell r="G4">
            <v>76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EF"/>
      <sheetName val="НЗС КТЭЦ"/>
      <sheetName val="НЗС_КТЭЦ"/>
      <sheetName val="Модель"/>
      <sheetName val="НЗС%20КТЭЦ.xls"/>
      <sheetName val="НЗС КТЭЦ.xls"/>
    </sheetNames>
    <definedNames>
      <definedName name="Header1"/>
    </defined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СК"/>
      <sheetName val="база"/>
      <sheetName val="СПб"/>
      <sheetName val="ЛО"/>
      <sheetName val="сверка с ПСК"/>
      <sheetName val="авто"/>
      <sheetName val="группы новых ип"/>
      <sheetName val="ЛО утв проекты 21"/>
      <sheetName val="смена проектов"/>
    </sheetNames>
    <sheetDataSet>
      <sheetData sheetId="0"/>
      <sheetData sheetId="1"/>
      <sheetData sheetId="2">
        <row r="17">
          <cell r="Z17">
            <v>1499037.1348354267</v>
          </cell>
        </row>
        <row r="18">
          <cell r="Z18">
            <v>170263.2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СПб"/>
    </sheetNames>
    <sheetDataSet>
      <sheetData sheetId="0">
        <row r="5">
          <cell r="B5">
            <v>2435</v>
          </cell>
        </row>
        <row r="6">
          <cell r="B6">
            <v>27</v>
          </cell>
        </row>
        <row r="7">
          <cell r="B7">
            <v>2394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1_1-ф"/>
      <sheetName val="2021_3-ф"/>
      <sheetName val="2022_1-ф"/>
      <sheetName val="2022_3-ф"/>
      <sheetName val="2023_1-ф"/>
      <sheetName val="2023_3-ф"/>
      <sheetName val="2024_1-ф"/>
      <sheetName val="2024_3-ф"/>
    </sheetNames>
    <sheetDataSet>
      <sheetData sheetId="0">
        <row r="465">
          <cell r="A465">
            <v>463</v>
          </cell>
        </row>
      </sheetData>
      <sheetData sheetId="1">
        <row r="11">
          <cell r="A11">
            <v>9</v>
          </cell>
        </row>
      </sheetData>
      <sheetData sheetId="2">
        <row r="722">
          <cell r="A722">
            <v>720</v>
          </cell>
        </row>
      </sheetData>
      <sheetData sheetId="3">
        <row r="15">
          <cell r="A15">
            <v>13</v>
          </cell>
        </row>
      </sheetData>
      <sheetData sheetId="4">
        <row r="358">
          <cell r="A358">
            <v>356</v>
          </cell>
        </row>
      </sheetData>
      <sheetData sheetId="5">
        <row r="14">
          <cell r="A14">
            <v>12</v>
          </cell>
        </row>
      </sheetData>
      <sheetData sheetId="6">
        <row r="468">
          <cell r="A468">
            <v>466</v>
          </cell>
        </row>
      </sheetData>
      <sheetData sheetId="7">
        <row r="29">
          <cell r="A29">
            <v>27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база"/>
    </sheetNames>
    <sheetDataSet>
      <sheetData sheetId="0">
        <row r="5">
          <cell r="B5">
            <v>40025</v>
          </cell>
          <cell r="C5">
            <v>204404</v>
          </cell>
          <cell r="D5">
            <v>20465</v>
          </cell>
          <cell r="E5">
            <v>18975</v>
          </cell>
          <cell r="F5">
            <v>25433</v>
          </cell>
          <cell r="G5">
            <v>15970</v>
          </cell>
          <cell r="H5">
            <v>11268</v>
          </cell>
          <cell r="I5">
            <v>15836</v>
          </cell>
          <cell r="J5">
            <v>26368</v>
          </cell>
        </row>
        <row r="6">
          <cell r="B6">
            <v>1122</v>
          </cell>
          <cell r="C6">
            <v>11445</v>
          </cell>
          <cell r="D6">
            <v>149</v>
          </cell>
          <cell r="E6">
            <v>173</v>
          </cell>
          <cell r="F6">
            <v>76</v>
          </cell>
          <cell r="G6">
            <v>172</v>
          </cell>
          <cell r="H6">
            <v>68</v>
          </cell>
          <cell r="I6">
            <v>233</v>
          </cell>
          <cell r="J6">
            <v>210</v>
          </cell>
        </row>
        <row r="7">
          <cell r="B7">
            <v>2</v>
          </cell>
          <cell r="C7">
            <v>6</v>
          </cell>
          <cell r="D7"/>
          <cell r="E7">
            <v>1</v>
          </cell>
          <cell r="F7"/>
          <cell r="G7"/>
          <cell r="H7"/>
          <cell r="I7"/>
          <cell r="J7"/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свод"/>
    </sheetNames>
    <sheetDataSet>
      <sheetData sheetId="0"/>
      <sheetData sheetId="1">
        <row r="5">
          <cell r="B5">
            <v>72458</v>
          </cell>
          <cell r="C5">
            <v>60332</v>
          </cell>
          <cell r="D5">
            <v>53930</v>
          </cell>
        </row>
        <row r="6">
          <cell r="B6">
            <v>1123</v>
          </cell>
          <cell r="C6">
            <v>942</v>
          </cell>
          <cell r="D6">
            <v>1428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ТОГ"/>
      <sheetName val="сводка"/>
    </sheetNames>
    <sheetDataSet>
      <sheetData sheetId="0"/>
      <sheetData sheetId="1">
        <row r="5">
          <cell r="B5"/>
          <cell r="C5"/>
          <cell r="D5"/>
          <cell r="E5"/>
          <cell r="F5"/>
          <cell r="G5"/>
          <cell r="H5"/>
          <cell r="I5"/>
          <cell r="J5"/>
          <cell r="K5"/>
          <cell r="L5"/>
          <cell r="M5"/>
          <cell r="N5"/>
          <cell r="O5">
            <v>7</v>
          </cell>
          <cell r="P5">
            <v>12</v>
          </cell>
        </row>
        <row r="6">
          <cell r="B6">
            <v>1</v>
          </cell>
          <cell r="C6">
            <v>5</v>
          </cell>
          <cell r="D6">
            <v>5</v>
          </cell>
          <cell r="E6">
            <v>1</v>
          </cell>
          <cell r="F6">
            <v>6</v>
          </cell>
          <cell r="G6">
            <v>16</v>
          </cell>
          <cell r="H6">
            <v>15</v>
          </cell>
          <cell r="I6">
            <v>30</v>
          </cell>
          <cell r="J6">
            <v>54</v>
          </cell>
          <cell r="K6">
            <v>90</v>
          </cell>
          <cell r="L6">
            <v>82</v>
          </cell>
          <cell r="M6">
            <v>51</v>
          </cell>
          <cell r="N6">
            <v>66</v>
          </cell>
          <cell r="O6">
            <v>1</v>
          </cell>
          <cell r="P6"/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ЮЛ"/>
      <sheetName val="свод"/>
    </sheetNames>
    <sheetDataSet>
      <sheetData sheetId="0"/>
      <sheetData sheetId="1">
        <row r="6">
          <cell r="C6">
            <v>21</v>
          </cell>
          <cell r="D6">
            <v>5</v>
          </cell>
          <cell r="E6">
            <v>7</v>
          </cell>
          <cell r="F6">
            <v>5</v>
          </cell>
        </row>
        <row r="7">
          <cell r="C7">
            <v>45</v>
          </cell>
          <cell r="D7">
            <v>16</v>
          </cell>
          <cell r="E7">
            <v>30</v>
          </cell>
          <cell r="F7">
            <v>18</v>
          </cell>
        </row>
        <row r="8">
          <cell r="B8">
            <v>5</v>
          </cell>
        </row>
        <row r="10">
          <cell r="C10">
            <v>28</v>
          </cell>
          <cell r="D10">
            <v>7</v>
          </cell>
          <cell r="E10">
            <v>10</v>
          </cell>
          <cell r="F10">
            <v>3</v>
          </cell>
        </row>
        <row r="11">
          <cell r="C11">
            <v>133</v>
          </cell>
          <cell r="D11">
            <v>51</v>
          </cell>
          <cell r="E11">
            <v>51</v>
          </cell>
          <cell r="F11">
            <v>61</v>
          </cell>
        </row>
        <row r="12">
          <cell r="B12">
            <v>8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2020-2024"/>
      <sheetName val="отсутствие ПУ"/>
    </sheetNames>
    <sheetDataSet>
      <sheetData sheetId="0">
        <row r="7">
          <cell r="B7">
            <v>7</v>
          </cell>
          <cell r="C7"/>
          <cell r="D7"/>
          <cell r="E7"/>
          <cell r="F7">
            <v>3</v>
          </cell>
          <cell r="G7"/>
          <cell r="H7">
            <v>1</v>
          </cell>
          <cell r="I7"/>
          <cell r="J7">
            <v>3</v>
          </cell>
          <cell r="K7"/>
          <cell r="L7">
            <v>2</v>
          </cell>
          <cell r="M7">
            <v>5</v>
          </cell>
          <cell r="N7">
            <v>4</v>
          </cell>
          <cell r="O7">
            <v>12</v>
          </cell>
          <cell r="P7">
            <v>15</v>
          </cell>
          <cell r="Q7">
            <v>10</v>
          </cell>
        </row>
        <row r="8">
          <cell r="B8">
            <v>10</v>
          </cell>
          <cell r="C8">
            <v>2</v>
          </cell>
          <cell r="D8">
            <v>3</v>
          </cell>
          <cell r="E8">
            <v>1</v>
          </cell>
          <cell r="F8"/>
          <cell r="G8">
            <v>3</v>
          </cell>
          <cell r="H8">
            <v>2</v>
          </cell>
          <cell r="I8">
            <v>5</v>
          </cell>
          <cell r="J8">
            <v>19</v>
          </cell>
          <cell r="K8">
            <v>37</v>
          </cell>
          <cell r="L8">
            <v>65</v>
          </cell>
          <cell r="M8">
            <v>81</v>
          </cell>
          <cell r="N8">
            <v>82</v>
          </cell>
          <cell r="O8">
            <v>76</v>
          </cell>
          <cell r="P8">
            <v>146</v>
          </cell>
          <cell r="Q8">
            <v>162</v>
          </cell>
        </row>
        <row r="18">
          <cell r="B18">
            <v>169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6"/>
  <sheetViews>
    <sheetView workbookViewId="0">
      <selection activeCell="G17" sqref="G17"/>
    </sheetView>
  </sheetViews>
  <sheetFormatPr defaultRowHeight="15" x14ac:dyDescent="0.25"/>
  <cols>
    <col min="1" max="1" width="43.42578125" customWidth="1"/>
    <col min="2" max="2" width="12" customWidth="1"/>
    <col min="3" max="3" width="11.7109375" customWidth="1"/>
    <col min="4" max="4" width="16.28515625" customWidth="1"/>
    <col min="5" max="5" width="11.5703125" customWidth="1"/>
    <col min="6" max="6" width="11.7109375" customWidth="1"/>
    <col min="7" max="7" width="14.140625" customWidth="1"/>
    <col min="10" max="10" width="15.85546875" customWidth="1"/>
    <col min="12" max="12" width="12.7109375" bestFit="1" customWidth="1"/>
    <col min="13" max="13" width="19.42578125" customWidth="1"/>
  </cols>
  <sheetData>
    <row r="1" spans="1:7" x14ac:dyDescent="0.25">
      <c r="A1" t="s">
        <v>5</v>
      </c>
    </row>
    <row r="2" spans="1:7" x14ac:dyDescent="0.25">
      <c r="A2" t="s">
        <v>18</v>
      </c>
    </row>
    <row r="4" spans="1:7" x14ac:dyDescent="0.25">
      <c r="A4" s="1"/>
      <c r="B4" s="21">
        <v>2020</v>
      </c>
      <c r="C4" s="22">
        <v>2021</v>
      </c>
      <c r="D4" s="22">
        <v>2022</v>
      </c>
      <c r="E4" s="22">
        <v>2023</v>
      </c>
      <c r="F4" s="22">
        <v>2024</v>
      </c>
      <c r="G4" t="s">
        <v>25</v>
      </c>
    </row>
    <row r="5" spans="1:7" x14ac:dyDescent="0.25">
      <c r="A5" s="1" t="s">
        <v>11</v>
      </c>
      <c r="B5" s="3">
        <f>[3]свод!$B$5+[3]свод!$B$7</f>
        <v>4829</v>
      </c>
      <c r="C5" s="3">
        <f>'[4]2021_1-ф'!$A$465</f>
        <v>463</v>
      </c>
      <c r="D5" s="3">
        <f>'[4]2022_1-ф'!$A$722</f>
        <v>720</v>
      </c>
      <c r="E5" s="3">
        <f>'[4]2023_1-ф'!$A$358</f>
        <v>356</v>
      </c>
      <c r="F5" s="3">
        <f>'[4]2024_1-ф'!$A$468</f>
        <v>466</v>
      </c>
      <c r="G5" t="s">
        <v>28</v>
      </c>
    </row>
    <row r="6" spans="1:7" x14ac:dyDescent="0.25">
      <c r="A6" s="1" t="s">
        <v>12</v>
      </c>
      <c r="B6" s="1">
        <f>[3]свод!$B$6</f>
        <v>27</v>
      </c>
      <c r="C6" s="3">
        <f>'[4]2021_3-ф'!$A$11</f>
        <v>9</v>
      </c>
      <c r="D6" s="3">
        <f>'[4]2022_3-ф'!$A$15</f>
        <v>13</v>
      </c>
      <c r="E6" s="3">
        <f>'[4]2023_3-ф'!$A$14</f>
        <v>12</v>
      </c>
      <c r="F6" s="3">
        <f>'[4]2024_3-ф'!$A$29</f>
        <v>27</v>
      </c>
      <c r="G6" t="s">
        <v>28</v>
      </c>
    </row>
    <row r="7" spans="1:7" x14ac:dyDescent="0.25">
      <c r="A7" s="1" t="s">
        <v>23</v>
      </c>
      <c r="B7" s="3">
        <f>SUM([5]свод!$B$5:$F$5)</f>
        <v>309302</v>
      </c>
      <c r="C7" s="3">
        <f>SUM([5]свод!$G$5:$J$5)</f>
        <v>69442</v>
      </c>
      <c r="D7" s="3">
        <f>[6]свод!B5</f>
        <v>72458</v>
      </c>
      <c r="E7" s="3">
        <f>[6]свод!C5</f>
        <v>60332</v>
      </c>
      <c r="F7" s="3">
        <f>[6]свод!D5</f>
        <v>53930</v>
      </c>
      <c r="G7" t="s">
        <v>29</v>
      </c>
    </row>
    <row r="8" spans="1:7" x14ac:dyDescent="0.25">
      <c r="A8" s="1" t="s">
        <v>24</v>
      </c>
      <c r="B8" s="3">
        <f>SUM([5]свод!$B$6:$F$7)</f>
        <v>12974</v>
      </c>
      <c r="C8" s="3">
        <f>SUM([5]свод!$G$6:$J$7)</f>
        <v>683</v>
      </c>
      <c r="D8" s="3">
        <f>[6]свод!B6</f>
        <v>1123</v>
      </c>
      <c r="E8" s="3">
        <f>[6]свод!C6</f>
        <v>942</v>
      </c>
      <c r="F8" s="3">
        <f>[6]свод!D6</f>
        <v>1428</v>
      </c>
      <c r="G8" t="s">
        <v>29</v>
      </c>
    </row>
    <row r="9" spans="1:7" x14ac:dyDescent="0.25">
      <c r="A9" s="1" t="s">
        <v>13</v>
      </c>
      <c r="B9" s="1">
        <f>SUM([7]сводка!$B$6:$P$6)</f>
        <v>423</v>
      </c>
      <c r="C9" s="1">
        <f>[8]свод!C10+[8]свод!$B$12</f>
        <v>36</v>
      </c>
      <c r="D9" s="1">
        <f>[8]свод!D10</f>
        <v>7</v>
      </c>
      <c r="E9" s="1">
        <f>[8]свод!E10</f>
        <v>10</v>
      </c>
      <c r="F9" s="1">
        <f>[8]свод!F10</f>
        <v>3</v>
      </c>
      <c r="G9" t="s">
        <v>21</v>
      </c>
    </row>
    <row r="10" spans="1:7" x14ac:dyDescent="0.25">
      <c r="A10" s="1" t="s">
        <v>14</v>
      </c>
      <c r="B10" s="1"/>
      <c r="C10" s="1">
        <f>[8]свод!C11</f>
        <v>133</v>
      </c>
      <c r="D10" s="1">
        <f>[8]свод!D11</f>
        <v>51</v>
      </c>
      <c r="E10" s="1">
        <f>[8]свод!E11</f>
        <v>51</v>
      </c>
      <c r="F10" s="1">
        <f>[8]свод!F11</f>
        <v>61</v>
      </c>
      <c r="G10" t="s">
        <v>22</v>
      </c>
    </row>
    <row r="11" spans="1:7" x14ac:dyDescent="0.25">
      <c r="A11" s="1" t="s">
        <v>26</v>
      </c>
      <c r="B11" s="1">
        <f>SUM([9]свод!$B$7:$P$7)+[9]свод!$B$18</f>
        <v>221</v>
      </c>
      <c r="C11" s="1">
        <f>[10]бюджет!$B225+[9]свод!$Q$7</f>
        <v>13</v>
      </c>
      <c r="D11" s="1">
        <f>[10]непром!B1251+[10]бюджет!C225</f>
        <v>221</v>
      </c>
      <c r="E11" s="1">
        <f>[10]непром!C1251+[10]бюджет!D225</f>
        <v>494</v>
      </c>
      <c r="F11" s="1">
        <f>[10]непром!D1251+[10]бюджет!E225</f>
        <v>491</v>
      </c>
      <c r="G11" t="s">
        <v>30</v>
      </c>
    </row>
    <row r="12" spans="1:7" x14ac:dyDescent="0.25">
      <c r="A12" s="1" t="s">
        <v>27</v>
      </c>
      <c r="B12" s="1">
        <f>SUM([9]свод!$B$8:$P$8)</f>
        <v>532</v>
      </c>
      <c r="C12" s="1">
        <f>[10]бюджет!$B226+[9]свод!$Q$8</f>
        <v>171</v>
      </c>
      <c r="D12" s="1">
        <f>[10]непром!B1252+[10]бюджет!C226</f>
        <v>31</v>
      </c>
      <c r="E12" s="1">
        <f>[10]непром!C1252+[10]бюджет!D226</f>
        <v>44</v>
      </c>
      <c r="F12" s="1">
        <f>[10]непром!D1252+[10]бюджет!E226</f>
        <v>58</v>
      </c>
      <c r="G12" t="s">
        <v>30</v>
      </c>
    </row>
    <row r="13" spans="1:7" x14ac:dyDescent="0.25">
      <c r="A13" s="1" t="s">
        <v>16</v>
      </c>
      <c r="B13" s="3">
        <f>[11]свод!C$3*2</f>
        <v>40668</v>
      </c>
      <c r="C13" s="3">
        <f>[11]свод!D$3*2</f>
        <v>192</v>
      </c>
      <c r="D13" s="3">
        <f>[11]свод!E$3*2</f>
        <v>148</v>
      </c>
      <c r="E13" s="3">
        <f>[11]свод!F$3*2</f>
        <v>248</v>
      </c>
      <c r="F13" s="3">
        <f>[11]свод!G$3*2</f>
        <v>170</v>
      </c>
      <c r="G13" t="s">
        <v>42</v>
      </c>
    </row>
    <row r="16" spans="1:7" x14ac:dyDescent="0.25">
      <c r="A16" s="7"/>
      <c r="B16" s="55" t="s">
        <v>17</v>
      </c>
      <c r="C16" s="55"/>
      <c r="D16" s="55"/>
      <c r="E16" s="55"/>
      <c r="F16" s="55"/>
    </row>
    <row r="17" spans="1:13" x14ac:dyDescent="0.25">
      <c r="A17" s="8" t="s">
        <v>0</v>
      </c>
      <c r="B17" s="9">
        <f>B5+B7+B9+B11</f>
        <v>314775</v>
      </c>
      <c r="C17" s="9">
        <f t="shared" ref="C17:F17" si="0">C5+C7+C9+C11</f>
        <v>69954</v>
      </c>
      <c r="D17" s="9">
        <f t="shared" si="0"/>
        <v>73406</v>
      </c>
      <c r="E17" s="9">
        <f t="shared" si="0"/>
        <v>61192</v>
      </c>
      <c r="F17" s="9">
        <f t="shared" si="0"/>
        <v>54890</v>
      </c>
      <c r="G17" s="6">
        <f>SUM(B17:F17)</f>
        <v>574217</v>
      </c>
      <c r="J17" s="6"/>
      <c r="K17" s="24"/>
      <c r="L17" s="6"/>
    </row>
    <row r="18" spans="1:13" x14ac:dyDescent="0.25">
      <c r="A18" s="8" t="s">
        <v>1</v>
      </c>
      <c r="B18" s="9">
        <f>B6+B8+B10+B12</f>
        <v>13533</v>
      </c>
      <c r="C18" s="9">
        <f t="shared" ref="C18:F18" si="1">C6+C8+C10+C12</f>
        <v>996</v>
      </c>
      <c r="D18" s="9">
        <f t="shared" si="1"/>
        <v>1218</v>
      </c>
      <c r="E18" s="9">
        <f t="shared" si="1"/>
        <v>1049</v>
      </c>
      <c r="F18" s="9">
        <f t="shared" si="1"/>
        <v>1574</v>
      </c>
      <c r="G18" s="6">
        <f t="shared" ref="G18:G19" si="2">SUM(B18:F18)</f>
        <v>18370</v>
      </c>
      <c r="J18" s="6"/>
      <c r="K18" s="24"/>
      <c r="L18" s="6"/>
    </row>
    <row r="19" spans="1:13" x14ac:dyDescent="0.25">
      <c r="A19" s="8" t="s">
        <v>16</v>
      </c>
      <c r="B19" s="9">
        <f>B13</f>
        <v>40668</v>
      </c>
      <c r="C19" s="9">
        <f t="shared" ref="C19:F19" si="3">C13</f>
        <v>192</v>
      </c>
      <c r="D19" s="9">
        <f t="shared" si="3"/>
        <v>148</v>
      </c>
      <c r="E19" s="9">
        <f t="shared" si="3"/>
        <v>248</v>
      </c>
      <c r="F19" s="9">
        <f t="shared" si="3"/>
        <v>170</v>
      </c>
      <c r="G19" s="6">
        <f t="shared" si="2"/>
        <v>41426</v>
      </c>
      <c r="J19" s="6"/>
      <c r="K19" s="24"/>
      <c r="L19" s="6"/>
      <c r="M19" s="6"/>
    </row>
    <row r="20" spans="1:13" x14ac:dyDescent="0.25">
      <c r="B20" s="23">
        <f>SUM(B17:B19)</f>
        <v>368976</v>
      </c>
      <c r="C20" s="23">
        <f t="shared" ref="C20:F20" si="4">SUM(C17:C19)</f>
        <v>71142</v>
      </c>
      <c r="D20" s="23">
        <f t="shared" si="4"/>
        <v>74772</v>
      </c>
      <c r="E20" s="23">
        <f t="shared" si="4"/>
        <v>62489</v>
      </c>
      <c r="F20" s="23">
        <f t="shared" si="4"/>
        <v>56634</v>
      </c>
      <c r="J20" s="6"/>
      <c r="K20" s="24"/>
      <c r="L20" s="6"/>
    </row>
    <row r="21" spans="1:13" x14ac:dyDescent="0.25">
      <c r="J21" s="6"/>
      <c r="K21" s="24"/>
      <c r="L21" s="6"/>
    </row>
    <row r="22" spans="1:13" x14ac:dyDescent="0.25">
      <c r="B22">
        <f>(B5+B7)/B17</f>
        <v>0.99795409419426573</v>
      </c>
      <c r="C22">
        <f t="shared" ref="C22:F22" si="5">(C5+C7)/C17</f>
        <v>0.9992995396975155</v>
      </c>
      <c r="D22">
        <f t="shared" si="5"/>
        <v>0.99689398686755848</v>
      </c>
      <c r="E22">
        <f t="shared" si="5"/>
        <v>0.99176362923257944</v>
      </c>
      <c r="F22">
        <f t="shared" si="5"/>
        <v>0.99100018218254693</v>
      </c>
      <c r="L22" s="6"/>
    </row>
    <row r="23" spans="1:13" x14ac:dyDescent="0.25">
      <c r="B23">
        <f>(B6+B8)/B18</f>
        <v>0.96068868691347076</v>
      </c>
      <c r="C23">
        <f t="shared" ref="C23:F23" si="6">(C6+C8)/C18</f>
        <v>0.69477911646586343</v>
      </c>
      <c r="D23">
        <f t="shared" si="6"/>
        <v>0.93267651888341541</v>
      </c>
      <c r="E23">
        <f t="shared" si="6"/>
        <v>0.90943755958055295</v>
      </c>
      <c r="F23">
        <f t="shared" si="6"/>
        <v>0.92439644218551464</v>
      </c>
    </row>
    <row r="25" spans="1:13" x14ac:dyDescent="0.25">
      <c r="C25">
        <f>(B5+C5+B7+C7)/(B17+C17)</f>
        <v>0.99819873209453924</v>
      </c>
    </row>
    <row r="26" spans="1:13" x14ac:dyDescent="0.25">
      <c r="C26">
        <f>(B6+C6+B8+C8)/(B18+C18)</f>
        <v>0.94245990777066557</v>
      </c>
    </row>
  </sheetData>
  <mergeCells count="1">
    <mergeCell ref="B16:F16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8"/>
  <sheetViews>
    <sheetView workbookViewId="0">
      <selection activeCell="G28" sqref="G28"/>
    </sheetView>
  </sheetViews>
  <sheetFormatPr defaultRowHeight="15" x14ac:dyDescent="0.25"/>
  <cols>
    <col min="1" max="1" width="43.42578125" customWidth="1"/>
    <col min="2" max="2" width="12" customWidth="1"/>
    <col min="3" max="3" width="11.7109375" customWidth="1"/>
    <col min="4" max="4" width="14.85546875" customWidth="1"/>
    <col min="5" max="5" width="11.5703125" customWidth="1"/>
    <col min="6" max="6" width="11.7109375" customWidth="1"/>
    <col min="7" max="7" width="17.140625" customWidth="1"/>
    <col min="10" max="10" width="15.85546875" customWidth="1"/>
    <col min="12" max="12" width="12.28515625" customWidth="1"/>
    <col min="13" max="13" width="19.42578125" customWidth="1"/>
  </cols>
  <sheetData>
    <row r="1" spans="1:13" x14ac:dyDescent="0.25">
      <c r="A1" t="s">
        <v>6</v>
      </c>
    </row>
    <row r="2" spans="1:13" x14ac:dyDescent="0.25">
      <c r="A2" t="s">
        <v>18</v>
      </c>
    </row>
    <row r="4" spans="1:13" x14ac:dyDescent="0.25">
      <c r="A4" s="1"/>
      <c r="B4" s="21">
        <v>2020</v>
      </c>
      <c r="C4" s="22">
        <v>2021</v>
      </c>
      <c r="D4" s="22">
        <v>2022</v>
      </c>
      <c r="E4" s="22">
        <v>2023</v>
      </c>
      <c r="F4" s="22">
        <v>2024</v>
      </c>
      <c r="G4" t="s">
        <v>19</v>
      </c>
    </row>
    <row r="5" spans="1:13" x14ac:dyDescent="0.25">
      <c r="A5" s="1" t="s">
        <v>11</v>
      </c>
      <c r="B5" s="3">
        <f>[12]свод!$B$5+[12]свод!$B$7</f>
        <v>30492</v>
      </c>
      <c r="C5" s="3">
        <f>'[13]2021_1-ф'!$A$4609</f>
        <v>4607</v>
      </c>
      <c r="D5" s="3">
        <f>'[13]2022_1-ф'!$A$12028</f>
        <v>12026</v>
      </c>
      <c r="E5" s="3">
        <f>'[13]2023_1-ф'!$A$5654</f>
        <v>5652</v>
      </c>
      <c r="F5" s="3">
        <f>'[13]2024_1-ф'!$A$9102</f>
        <v>9100</v>
      </c>
      <c r="G5" t="s">
        <v>20</v>
      </c>
    </row>
    <row r="6" spans="1:13" x14ac:dyDescent="0.25">
      <c r="A6" s="1" t="s">
        <v>12</v>
      </c>
      <c r="B6" s="1">
        <f>[12]свод!$B$6</f>
        <v>169</v>
      </c>
      <c r="C6" s="3">
        <f>'[13]2021_3-ф'!$A$39</f>
        <v>37</v>
      </c>
      <c r="D6" s="3">
        <f>'[13]2022_3-ф'!$A$237</f>
        <v>235</v>
      </c>
      <c r="E6" s="3">
        <f>'[13]2023_3-ф'!$A$133</f>
        <v>131</v>
      </c>
      <c r="F6" s="3">
        <f>'[13]2024_3-ф'!$A$128</f>
        <v>126</v>
      </c>
      <c r="G6" t="s">
        <v>20</v>
      </c>
    </row>
    <row r="7" spans="1:13" x14ac:dyDescent="0.25">
      <c r="A7" s="1" t="s">
        <v>13</v>
      </c>
      <c r="B7" s="1">
        <f>SUM([7]сводка!$B$5:$P$5)</f>
        <v>19</v>
      </c>
      <c r="C7" s="1">
        <f>[8]свод!C6+[8]свод!$B$8</f>
        <v>26</v>
      </c>
      <c r="D7" s="1">
        <f>[8]свод!D6</f>
        <v>5</v>
      </c>
      <c r="E7" s="1">
        <f>[8]свод!E6</f>
        <v>7</v>
      </c>
      <c r="F7" s="1">
        <f>[8]свод!F6</f>
        <v>5</v>
      </c>
      <c r="G7" t="s">
        <v>21</v>
      </c>
    </row>
    <row r="8" spans="1:13" x14ac:dyDescent="0.25">
      <c r="A8" s="1" t="s">
        <v>14</v>
      </c>
      <c r="B8" s="1"/>
      <c r="C8" s="1">
        <f>[8]свод!C7</f>
        <v>45</v>
      </c>
      <c r="D8" s="1">
        <f>[8]свод!D7</f>
        <v>16</v>
      </c>
      <c r="E8" s="1">
        <f>[8]свод!E7</f>
        <v>30</v>
      </c>
      <c r="F8" s="1">
        <f>[8]свод!F7</f>
        <v>18</v>
      </c>
      <c r="G8" t="s">
        <v>22</v>
      </c>
    </row>
    <row r="9" spans="1:13" x14ac:dyDescent="0.25">
      <c r="A9" s="1" t="s">
        <v>15</v>
      </c>
      <c r="B9" s="3">
        <f>[11]свод!C$4*2</f>
        <v>10146</v>
      </c>
      <c r="C9" s="3">
        <f>[11]свод!D$4*2</f>
        <v>98</v>
      </c>
      <c r="D9" s="3">
        <f>[11]свод!E$4*2</f>
        <v>188</v>
      </c>
      <c r="E9" s="3">
        <f>[11]свод!F$4*2</f>
        <v>214</v>
      </c>
      <c r="F9" s="3">
        <f>[11]свод!G$4*2</f>
        <v>152</v>
      </c>
      <c r="G9" t="s">
        <v>42</v>
      </c>
    </row>
    <row r="12" spans="1:13" x14ac:dyDescent="0.25">
      <c r="A12" s="7"/>
      <c r="B12" s="55" t="s">
        <v>17</v>
      </c>
      <c r="C12" s="55"/>
      <c r="D12" s="55"/>
      <c r="E12" s="55"/>
      <c r="F12" s="55"/>
    </row>
    <row r="13" spans="1:13" x14ac:dyDescent="0.25">
      <c r="A13" s="8" t="s">
        <v>0</v>
      </c>
      <c r="B13" s="9">
        <f>B5+B7</f>
        <v>30511</v>
      </c>
      <c r="C13" s="9">
        <f>C5+C7</f>
        <v>4633</v>
      </c>
      <c r="D13" s="9">
        <f t="shared" ref="D13:F13" si="0">D5+D7</f>
        <v>12031</v>
      </c>
      <c r="E13" s="9">
        <f t="shared" si="0"/>
        <v>5659</v>
      </c>
      <c r="F13" s="9">
        <f t="shared" si="0"/>
        <v>9105</v>
      </c>
      <c r="G13" s="23">
        <f>SUM(B13:F13)</f>
        <v>61939</v>
      </c>
      <c r="J13" s="6"/>
      <c r="K13" s="24"/>
      <c r="L13" s="6"/>
    </row>
    <row r="14" spans="1:13" x14ac:dyDescent="0.25">
      <c r="A14" s="8" t="s">
        <v>1</v>
      </c>
      <c r="B14" s="9">
        <f>B6+B8</f>
        <v>169</v>
      </c>
      <c r="C14" s="9">
        <f>C6+C8</f>
        <v>82</v>
      </c>
      <c r="D14" s="9">
        <f t="shared" ref="D14:F14" si="1">D6+D8</f>
        <v>251</v>
      </c>
      <c r="E14" s="9">
        <f t="shared" si="1"/>
        <v>161</v>
      </c>
      <c r="F14" s="9">
        <f t="shared" si="1"/>
        <v>144</v>
      </c>
      <c r="G14" s="23">
        <f t="shared" ref="G14:G16" si="2">SUM(B14:F14)</f>
        <v>807</v>
      </c>
      <c r="J14" s="6"/>
      <c r="K14" s="24"/>
      <c r="L14" s="6"/>
    </row>
    <row r="15" spans="1:13" x14ac:dyDescent="0.25">
      <c r="A15" s="8" t="s">
        <v>16</v>
      </c>
      <c r="B15" s="9">
        <f>B9</f>
        <v>10146</v>
      </c>
      <c r="C15" s="9">
        <f>C9</f>
        <v>98</v>
      </c>
      <c r="D15" s="9">
        <f t="shared" ref="D15:F15" si="3">D9</f>
        <v>188</v>
      </c>
      <c r="E15" s="9">
        <f t="shared" si="3"/>
        <v>214</v>
      </c>
      <c r="F15" s="9">
        <f t="shared" si="3"/>
        <v>152</v>
      </c>
      <c r="G15" s="23">
        <f t="shared" si="2"/>
        <v>10798</v>
      </c>
      <c r="J15" s="6"/>
      <c r="K15" s="24"/>
      <c r="L15" s="6"/>
      <c r="M15" s="6"/>
    </row>
    <row r="16" spans="1:13" x14ac:dyDescent="0.25">
      <c r="B16" s="23">
        <f>SUM(B13:B15)</f>
        <v>40826</v>
      </c>
      <c r="C16" s="23">
        <f t="shared" ref="C16:F16" si="4">SUM(C13:C15)</f>
        <v>4813</v>
      </c>
      <c r="D16" s="23">
        <f t="shared" si="4"/>
        <v>12470</v>
      </c>
      <c r="E16" s="23">
        <f t="shared" si="4"/>
        <v>6034</v>
      </c>
      <c r="F16" s="23">
        <f t="shared" si="4"/>
        <v>9401</v>
      </c>
      <c r="G16" s="23">
        <f t="shared" si="2"/>
        <v>73544</v>
      </c>
      <c r="J16" s="6"/>
      <c r="K16" s="24"/>
      <c r="L16" s="6"/>
    </row>
    <row r="17" spans="10:12" x14ac:dyDescent="0.25">
      <c r="J17" s="6"/>
      <c r="K17" s="24"/>
      <c r="L17" s="6"/>
    </row>
    <row r="18" spans="10:12" x14ac:dyDescent="0.25">
      <c r="L18" s="6"/>
    </row>
  </sheetData>
  <mergeCells count="1">
    <mergeCell ref="B12:F12"/>
  </mergeCells>
  <printOptions horizontalCentered="1"/>
  <pageMargins left="0.19685039370078741" right="0.19685039370078741" top="0.74803149606299213" bottom="0.74803149606299213" header="0.31496062992125984" footer="0.31496062992125984"/>
  <pageSetup paperSize="9"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H65"/>
  <sheetViews>
    <sheetView tabSelected="1" workbookViewId="0">
      <pane xSplit="1" ySplit="3" topLeftCell="W4" activePane="bottomRight" state="frozen"/>
      <selection pane="topRight" activeCell="B1" sqref="B1"/>
      <selection pane="bottomLeft" activeCell="A4" sqref="A4"/>
      <selection pane="bottomRight" activeCell="Z28" sqref="Z28"/>
    </sheetView>
  </sheetViews>
  <sheetFormatPr defaultRowHeight="15" x14ac:dyDescent="0.25"/>
  <cols>
    <col min="1" max="1" width="50.140625" style="11" customWidth="1"/>
    <col min="2" max="2" width="16.42578125" style="11" customWidth="1"/>
    <col min="3" max="3" width="13.85546875" style="11" customWidth="1"/>
    <col min="4" max="4" width="15.5703125" style="11" customWidth="1"/>
    <col min="5" max="5" width="16.42578125" style="11" customWidth="1"/>
    <col min="6" max="6" width="13.85546875" style="11" customWidth="1"/>
    <col min="7" max="7" width="15.5703125" style="11" customWidth="1"/>
    <col min="8" max="8" width="16.42578125" style="11" customWidth="1"/>
    <col min="9" max="9" width="13.85546875" style="11" customWidth="1"/>
    <col min="10" max="13" width="15.5703125" style="11" customWidth="1"/>
    <col min="14" max="14" width="16.42578125" style="11" customWidth="1"/>
    <col min="15" max="15" width="13.85546875" style="11" customWidth="1"/>
    <col min="16" max="19" width="15.5703125" style="11" customWidth="1"/>
    <col min="20" max="20" width="16.42578125" style="11" customWidth="1"/>
    <col min="21" max="21" width="17.7109375" style="11" customWidth="1"/>
    <col min="22" max="25" width="15.5703125" style="11" customWidth="1"/>
    <col min="26" max="26" width="17.140625" style="11" customWidth="1"/>
    <col min="27" max="27" width="16.85546875" style="11" customWidth="1"/>
    <col min="28" max="28" width="15.28515625" style="11" customWidth="1"/>
    <col min="29" max="29" width="17.140625" style="11" customWidth="1"/>
    <col min="30" max="30" width="16.85546875" style="11" customWidth="1"/>
    <col min="31" max="31" width="15.28515625" style="11" customWidth="1"/>
    <col min="32" max="32" width="33.42578125" style="11" customWidth="1"/>
    <col min="33" max="16384" width="9.140625" style="11"/>
  </cols>
  <sheetData>
    <row r="1" spans="1:34" ht="15.75" thickBot="1" x14ac:dyDescent="0.3"/>
    <row r="2" spans="1:34" ht="30.75" thickTop="1" x14ac:dyDescent="0.25">
      <c r="A2" s="62" t="s">
        <v>5</v>
      </c>
      <c r="B2" s="57" t="s">
        <v>31</v>
      </c>
      <c r="C2" s="58"/>
      <c r="D2" s="58"/>
      <c r="E2" s="58" t="s">
        <v>32</v>
      </c>
      <c r="F2" s="58"/>
      <c r="G2" s="59"/>
      <c r="H2" s="57" t="s">
        <v>33</v>
      </c>
      <c r="I2" s="58"/>
      <c r="J2" s="58"/>
      <c r="K2" s="58" t="s">
        <v>43</v>
      </c>
      <c r="L2" s="58"/>
      <c r="M2" s="59"/>
      <c r="N2" s="57" t="s">
        <v>36</v>
      </c>
      <c r="O2" s="58"/>
      <c r="P2" s="58"/>
      <c r="Q2" s="58" t="s">
        <v>47</v>
      </c>
      <c r="R2" s="58"/>
      <c r="S2" s="59"/>
      <c r="T2" s="57" t="s">
        <v>37</v>
      </c>
      <c r="U2" s="58"/>
      <c r="V2" s="58"/>
      <c r="W2" s="58" t="s">
        <v>38</v>
      </c>
      <c r="X2" s="58"/>
      <c r="Y2" s="59"/>
      <c r="Z2" s="56" t="s">
        <v>39</v>
      </c>
      <c r="AA2" s="56"/>
      <c r="AB2" s="56"/>
      <c r="AC2" s="56" t="s">
        <v>40</v>
      </c>
      <c r="AD2" s="56"/>
      <c r="AE2" s="56"/>
      <c r="AF2" s="2" t="s">
        <v>41</v>
      </c>
      <c r="AG2" s="56" t="s">
        <v>48</v>
      </c>
      <c r="AH2" s="56"/>
    </row>
    <row r="3" spans="1:34" ht="30" x14ac:dyDescent="0.25">
      <c r="A3" s="63"/>
      <c r="B3" s="30" t="s">
        <v>2</v>
      </c>
      <c r="C3" s="2" t="s">
        <v>3</v>
      </c>
      <c r="D3" s="2" t="s">
        <v>4</v>
      </c>
      <c r="E3" s="26" t="s">
        <v>2</v>
      </c>
      <c r="F3" s="2" t="s">
        <v>3</v>
      </c>
      <c r="G3" s="31" t="s">
        <v>4</v>
      </c>
      <c r="H3" s="30" t="s">
        <v>2</v>
      </c>
      <c r="I3" s="2" t="s">
        <v>3</v>
      </c>
      <c r="J3" s="2" t="s">
        <v>4</v>
      </c>
      <c r="K3" s="26" t="s">
        <v>2</v>
      </c>
      <c r="L3" s="2" t="s">
        <v>3</v>
      </c>
      <c r="M3" s="31" t="s">
        <v>4</v>
      </c>
      <c r="N3" s="30" t="s">
        <v>2</v>
      </c>
      <c r="O3" s="2" t="s">
        <v>3</v>
      </c>
      <c r="P3" s="2" t="s">
        <v>4</v>
      </c>
      <c r="Q3" s="26" t="s">
        <v>2</v>
      </c>
      <c r="R3" s="2" t="s">
        <v>3</v>
      </c>
      <c r="S3" s="31" t="s">
        <v>4</v>
      </c>
      <c r="T3" s="30" t="s">
        <v>2</v>
      </c>
      <c r="U3" s="2" t="s">
        <v>3</v>
      </c>
      <c r="V3" s="2" t="s">
        <v>4</v>
      </c>
      <c r="W3" s="26" t="s">
        <v>2</v>
      </c>
      <c r="X3" s="2" t="s">
        <v>3</v>
      </c>
      <c r="Y3" s="31" t="s">
        <v>4</v>
      </c>
      <c r="Z3" s="25" t="s">
        <v>2</v>
      </c>
      <c r="AA3" s="2" t="s">
        <v>3</v>
      </c>
      <c r="AB3" s="2" t="s">
        <v>4</v>
      </c>
      <c r="AC3" s="26" t="s">
        <v>2</v>
      </c>
      <c r="AD3" s="2" t="s">
        <v>3</v>
      </c>
      <c r="AE3" s="2" t="s">
        <v>4</v>
      </c>
      <c r="AF3" s="50" t="s">
        <v>2</v>
      </c>
      <c r="AG3" s="50" t="s">
        <v>45</v>
      </c>
      <c r="AH3" s="50" t="s">
        <v>46</v>
      </c>
    </row>
    <row r="4" spans="1:34" x14ac:dyDescent="0.25">
      <c r="A4" s="27" t="s">
        <v>7</v>
      </c>
      <c r="B4" s="32">
        <v>228420</v>
      </c>
      <c r="C4" s="13">
        <v>5080.49</v>
      </c>
      <c r="D4" s="14">
        <f>D11-SUM(D5:D10)</f>
        <v>1160484855.7954266</v>
      </c>
      <c r="E4" s="12">
        <f>'[14]ввод 2021'!$D$7+'[14]ввод 2021'!$D$10</f>
        <v>203488</v>
      </c>
      <c r="F4" s="13">
        <f>G4/E4</f>
        <v>5735.3595674437793</v>
      </c>
      <c r="G4" s="33">
        <f>'[14]ввод 2021'!$D$9+'[14]ввод 2021'!$D$12+ROUND(E4/($E$11-$E$5)*'[14]ввод 2021'!$D$44,2)</f>
        <v>1167076847.6599998</v>
      </c>
      <c r="H4" s="32">
        <f>[15]свод!H4</f>
        <v>95486</v>
      </c>
      <c r="I4" s="13">
        <f t="shared" ref="I4:I10" si="0">J4/H4</f>
        <v>7973.7100000000009</v>
      </c>
      <c r="J4" s="14">
        <f>[15]свод!J4</f>
        <v>761377673.06000006</v>
      </c>
      <c r="K4" s="12">
        <f>[16]год_отчёт!$B$40</f>
        <v>104639</v>
      </c>
      <c r="L4" s="13">
        <f>M4/K4</f>
        <v>6845.521675474728</v>
      </c>
      <c r="M4" s="33">
        <f>[16]год_отчёт!$B$51</f>
        <v>716308542.60000002</v>
      </c>
      <c r="N4" s="32">
        <f>[17]свод!Q4</f>
        <v>62065</v>
      </c>
      <c r="O4" s="13">
        <f t="shared" ref="O4:O10" si="1">P4/N4</f>
        <v>8804.9555796342538</v>
      </c>
      <c r="P4" s="14">
        <f>[17]свод!S4</f>
        <v>546479568.04999995</v>
      </c>
      <c r="Q4" s="12">
        <f>[18]год!$B$76</f>
        <v>60681</v>
      </c>
      <c r="R4" s="13">
        <f t="shared" ref="R4:R10" si="2">S4/Q4</f>
        <v>8327.4506489675496</v>
      </c>
      <c r="S4" s="33">
        <f>[18]год!$C$76</f>
        <v>505318032.82999992</v>
      </c>
      <c r="T4" s="32">
        <f>[17]свод!W36</f>
        <v>59363</v>
      </c>
      <c r="U4" s="13">
        <f t="shared" ref="U4:U10" si="3">V4/T4</f>
        <v>10131.290730628154</v>
      </c>
      <c r="V4" s="14">
        <f>[17]свод!Y36</f>
        <v>601423811.64227915</v>
      </c>
      <c r="W4" s="12">
        <v>67243</v>
      </c>
      <c r="X4" s="13">
        <f t="shared" ref="X4:X10" si="4">Y4/W4</f>
        <v>9060.4660440491934</v>
      </c>
      <c r="Y4" s="33">
        <v>609252918.19999993</v>
      </c>
      <c r="Z4" s="12">
        <f t="shared" ref="Z4:Z10" si="5">B4+H4+N4+T4</f>
        <v>445334</v>
      </c>
      <c r="AA4" s="13">
        <f>AB4/Z4</f>
        <v>6893.1766012649068</v>
      </c>
      <c r="AB4" s="12">
        <f>D4+J4+P4+V4</f>
        <v>3069765908.5477061</v>
      </c>
      <c r="AC4" s="12">
        <f>E4+K4+Q4+W4</f>
        <v>436051</v>
      </c>
      <c r="AD4" s="13">
        <f>AE4/AC4</f>
        <v>6875.2424401962144</v>
      </c>
      <c r="AE4" s="12">
        <f>G4+M4+S4+Y4</f>
        <v>2997956341.2899995</v>
      </c>
      <c r="AF4" s="64">
        <f>'обоснования СПб'!G17</f>
        <v>574217</v>
      </c>
      <c r="AG4" s="14">
        <f>B4+H4+N4</f>
        <v>385971</v>
      </c>
      <c r="AH4" s="14">
        <f>E4+K4+Q4</f>
        <v>368808</v>
      </c>
    </row>
    <row r="5" spans="1:34" x14ac:dyDescent="0.25">
      <c r="A5" s="27" t="s">
        <v>8</v>
      </c>
      <c r="B5" s="34">
        <v>49220</v>
      </c>
      <c r="C5" s="13">
        <v>4256.58</v>
      </c>
      <c r="D5" s="14">
        <f>B5*C5</f>
        <v>209508867.59999999</v>
      </c>
      <c r="E5" s="14">
        <f>'[14]ввод 2021'!$D$4</f>
        <v>49900</v>
      </c>
      <c r="F5" s="13">
        <f t="shared" ref="F5:F10" si="6">G5/E5</f>
        <v>4247.7</v>
      </c>
      <c r="G5" s="33">
        <f>'[14]ввод 2021'!$D$6</f>
        <v>211960230</v>
      </c>
      <c r="H5" s="42"/>
      <c r="I5" s="5"/>
      <c r="J5" s="5"/>
      <c r="K5" s="4"/>
      <c r="L5" s="5"/>
      <c r="M5" s="43"/>
      <c r="N5" s="42"/>
      <c r="O5" s="5"/>
      <c r="P5" s="5"/>
      <c r="Q5" s="4"/>
      <c r="R5" s="5"/>
      <c r="S5" s="43"/>
      <c r="T5" s="42"/>
      <c r="U5" s="5"/>
      <c r="V5" s="5"/>
      <c r="W5" s="4"/>
      <c r="X5" s="5"/>
      <c r="Y5" s="43"/>
      <c r="Z5" s="12">
        <f t="shared" si="5"/>
        <v>49220</v>
      </c>
      <c r="AA5" s="13">
        <f t="shared" ref="AA5:AA10" si="7">AB5/Z5</f>
        <v>4256.58</v>
      </c>
      <c r="AB5" s="12">
        <f t="shared" ref="AB5:AB10" si="8">D5+J5+P5+V5</f>
        <v>209508867.59999999</v>
      </c>
      <c r="AC5" s="12">
        <f t="shared" ref="AC5:AC10" si="9">E5+K5+Q5+W5</f>
        <v>49900</v>
      </c>
      <c r="AD5" s="13">
        <f t="shared" ref="AD5:AD10" si="10">AE5/AC5</f>
        <v>4247.7</v>
      </c>
      <c r="AE5" s="12">
        <f t="shared" ref="AE5:AE10" si="11">G5+M5+S5+Y5</f>
        <v>211960230</v>
      </c>
      <c r="AF5" s="64"/>
      <c r="AG5" s="14">
        <f t="shared" ref="AG5:AG10" si="12">B5+H5+N5</f>
        <v>49220</v>
      </c>
      <c r="AH5" s="14">
        <f t="shared" ref="AH5:AH10" si="13">E5+K5+Q5</f>
        <v>49900</v>
      </c>
    </row>
    <row r="6" spans="1:34" x14ac:dyDescent="0.25">
      <c r="A6" s="27" t="s">
        <v>1</v>
      </c>
      <c r="B6" s="34">
        <v>7700</v>
      </c>
      <c r="C6" s="13">
        <v>8155.18</v>
      </c>
      <c r="D6" s="14">
        <f>B6*C6</f>
        <v>62794886</v>
      </c>
      <c r="E6" s="14">
        <f>'[14]ввод 2021'!$D$20</f>
        <v>4007</v>
      </c>
      <c r="F6" s="13">
        <f t="shared" si="6"/>
        <v>9221.1264487147473</v>
      </c>
      <c r="G6" s="33">
        <f>'[14]ввод 2021'!$D$16+'[14]ввод 2021'!$D$19++ROUND(E6/($E$11-$E$5)*'[14]ввод 2021'!$D$44,2)</f>
        <v>36949053.679999992</v>
      </c>
      <c r="H6" s="34">
        <f>[15]свод!H6</f>
        <v>1269</v>
      </c>
      <c r="I6" s="13">
        <f t="shared" si="0"/>
        <v>12423.73</v>
      </c>
      <c r="J6" s="14">
        <f>[15]свод!J6</f>
        <v>15765713.369999999</v>
      </c>
      <c r="K6" s="14">
        <f>[16]год_отчёт!$B$41</f>
        <v>9076</v>
      </c>
      <c r="L6" s="13">
        <f t="shared" ref="L6:L10" si="14">M6/K6</f>
        <v>10561.77126267078</v>
      </c>
      <c r="M6" s="33">
        <f>[16]год_отчёт!$B$52</f>
        <v>95858635.980000004</v>
      </c>
      <c r="N6" s="34">
        <f>[17]свод!Q6</f>
        <v>2068</v>
      </c>
      <c r="O6" s="13">
        <f t="shared" si="1"/>
        <v>19311.885314313349</v>
      </c>
      <c r="P6" s="14">
        <f>[17]свод!S6</f>
        <v>39936978.830000006</v>
      </c>
      <c r="Q6" s="12">
        <f>[18]год!$B$77+[18]год!$B$78</f>
        <v>3273</v>
      </c>
      <c r="R6" s="13">
        <f t="shared" si="2"/>
        <v>17137.558313473874</v>
      </c>
      <c r="S6" s="33">
        <f>[18]год!$C$77+[18]год!$C$78</f>
        <v>56091228.359999985</v>
      </c>
      <c r="T6" s="34">
        <f>[17]свод!W38</f>
        <v>1820</v>
      </c>
      <c r="U6" s="13">
        <f t="shared" si="3"/>
        <v>19695.372544094473</v>
      </c>
      <c r="V6" s="14">
        <f>[17]свод!Y38</f>
        <v>35845578.030251943</v>
      </c>
      <c r="W6" s="12">
        <v>2410</v>
      </c>
      <c r="X6" s="13">
        <f t="shared" si="4"/>
        <v>18876.5677593361</v>
      </c>
      <c r="Y6" s="33">
        <v>45492528.300000004</v>
      </c>
      <c r="Z6" s="12">
        <f t="shared" si="5"/>
        <v>12857</v>
      </c>
      <c r="AA6" s="13">
        <f t="shared" si="7"/>
        <v>12004.601091253944</v>
      </c>
      <c r="AB6" s="12">
        <f t="shared" si="8"/>
        <v>154343156.23025197</v>
      </c>
      <c r="AC6" s="12">
        <f t="shared" si="9"/>
        <v>18766</v>
      </c>
      <c r="AD6" s="13">
        <f t="shared" si="10"/>
        <v>12490.218817009485</v>
      </c>
      <c r="AE6" s="12">
        <f t="shared" si="11"/>
        <v>234391446.31999999</v>
      </c>
      <c r="AF6" s="46">
        <f>'обоснования СПб'!G18</f>
        <v>18370</v>
      </c>
      <c r="AG6" s="14">
        <f t="shared" si="12"/>
        <v>11037</v>
      </c>
      <c r="AH6" s="14">
        <f t="shared" si="13"/>
        <v>16356</v>
      </c>
    </row>
    <row r="7" spans="1:34" x14ac:dyDescent="0.25">
      <c r="A7" s="28" t="s">
        <v>35</v>
      </c>
      <c r="B7" s="34">
        <v>2696</v>
      </c>
      <c r="C7" s="13">
        <v>25647.39</v>
      </c>
      <c r="D7" s="14">
        <f>B7*C7</f>
        <v>69145363.439999998</v>
      </c>
      <c r="E7" s="14">
        <f>'[14]ввод 2021'!$D$21</f>
        <v>1568</v>
      </c>
      <c r="F7" s="13">
        <f t="shared" si="6"/>
        <v>22192.508667091835</v>
      </c>
      <c r="G7" s="33">
        <f>'[14]ввод 2021'!$D$24+'[14]ввод 2021'!$D$27+'[14]ввод 2021'!$D$30+'[14]ввод 2021'!$D$33+'[14]ввод 2021'!$D$36++ROUND(E7/($E$11-$E$5)*'[14]ввод 2021'!$D$44,2)</f>
        <v>34797853.589999996</v>
      </c>
      <c r="H7" s="34">
        <f>[15]свод!H7</f>
        <v>2797</v>
      </c>
      <c r="I7" s="13">
        <f t="shared" si="0"/>
        <v>28972.48</v>
      </c>
      <c r="J7" s="14">
        <f>[15]свод!J7</f>
        <v>81036026.560000002</v>
      </c>
      <c r="K7" s="14">
        <f>[16]год_отчёт!$B43</f>
        <v>3333</v>
      </c>
      <c r="L7" s="13">
        <f t="shared" si="14"/>
        <v>26683.584851485153</v>
      </c>
      <c r="M7" s="33">
        <f>[16]год_отчёт!$B54</f>
        <v>88936388.310000017</v>
      </c>
      <c r="N7" s="34">
        <f>[17]свод!Q7</f>
        <v>6060</v>
      </c>
      <c r="O7" s="13">
        <f t="shared" si="1"/>
        <v>35882.71533828383</v>
      </c>
      <c r="P7" s="14">
        <f>[17]свод!S7</f>
        <v>217449254.94999999</v>
      </c>
      <c r="Q7" s="12">
        <f>[18]год!$B$80</f>
        <v>6369</v>
      </c>
      <c r="R7" s="13">
        <f t="shared" si="2"/>
        <v>34264.961455487508</v>
      </c>
      <c r="S7" s="33">
        <f>[18]год!$C$80</f>
        <v>218233539.50999996</v>
      </c>
      <c r="T7" s="34">
        <f>[17]свод!W39</f>
        <v>7972</v>
      </c>
      <c r="U7" s="13">
        <f t="shared" si="3"/>
        <v>42253.348361333185</v>
      </c>
      <c r="V7" s="14">
        <f>[17]свод!Y39</f>
        <v>336843693.13654816</v>
      </c>
      <c r="W7" s="12">
        <v>5650</v>
      </c>
      <c r="X7" s="13">
        <f t="shared" si="4"/>
        <v>38201.512300884955</v>
      </c>
      <c r="Y7" s="33">
        <v>215838544.5</v>
      </c>
      <c r="Z7" s="12">
        <f t="shared" si="5"/>
        <v>19525</v>
      </c>
      <c r="AA7" s="13">
        <f t="shared" si="7"/>
        <v>36080.631912243181</v>
      </c>
      <c r="AB7" s="12">
        <f t="shared" si="8"/>
        <v>704474338.08654809</v>
      </c>
      <c r="AC7" s="12">
        <f t="shared" si="9"/>
        <v>16920</v>
      </c>
      <c r="AD7" s="13">
        <f t="shared" si="10"/>
        <v>32967.276945035461</v>
      </c>
      <c r="AE7" s="12">
        <f t="shared" si="11"/>
        <v>557806325.90999997</v>
      </c>
      <c r="AF7" s="60">
        <f>'обоснования СПб'!G19</f>
        <v>41426</v>
      </c>
      <c r="AG7" s="14">
        <f t="shared" si="12"/>
        <v>11553</v>
      </c>
      <c r="AH7" s="14">
        <f t="shared" si="13"/>
        <v>11270</v>
      </c>
    </row>
    <row r="8" spans="1:34" x14ac:dyDescent="0.25">
      <c r="A8" s="28" t="s">
        <v>34</v>
      </c>
      <c r="B8" s="34"/>
      <c r="C8" s="13"/>
      <c r="D8" s="14"/>
      <c r="E8" s="14"/>
      <c r="F8" s="13"/>
      <c r="G8" s="33"/>
      <c r="H8" s="34">
        <f>[15]свод!H8</f>
        <v>2796</v>
      </c>
      <c r="I8" s="13">
        <f t="shared" si="0"/>
        <v>26921.91</v>
      </c>
      <c r="J8" s="14">
        <f>[15]свод!J8</f>
        <v>75273660.359999999</v>
      </c>
      <c r="K8" s="14">
        <f>[16]год_отчёт!$B44</f>
        <v>170</v>
      </c>
      <c r="L8" s="13">
        <f t="shared" si="14"/>
        <v>16799.911117647058</v>
      </c>
      <c r="M8" s="33">
        <f>[16]год_отчёт!$B55</f>
        <v>2855984.89</v>
      </c>
      <c r="N8" s="34">
        <f>[17]свод!Q8</f>
        <v>747</v>
      </c>
      <c r="O8" s="13">
        <f t="shared" si="1"/>
        <v>25947.286867469884</v>
      </c>
      <c r="P8" s="14">
        <f>[17]свод!S8</f>
        <v>19382623.290000003</v>
      </c>
      <c r="Q8" s="12">
        <f>[18]год!$B$79</f>
        <v>342</v>
      </c>
      <c r="R8" s="13">
        <f t="shared" si="2"/>
        <v>19985.461491228067</v>
      </c>
      <c r="S8" s="33">
        <f>[18]год!$C$79</f>
        <v>6835027.8299999991</v>
      </c>
      <c r="T8" s="34">
        <f>[17]свод!W40</f>
        <v>732</v>
      </c>
      <c r="U8" s="13">
        <f t="shared" si="3"/>
        <v>39565.819791537848</v>
      </c>
      <c r="V8" s="14">
        <f>[17]свод!Y40</f>
        <v>28962180.087405704</v>
      </c>
      <c r="W8" s="14">
        <v>425</v>
      </c>
      <c r="X8" s="13">
        <f t="shared" si="4"/>
        <v>24706.581764705883</v>
      </c>
      <c r="Y8" s="33">
        <v>10500297.25</v>
      </c>
      <c r="Z8" s="12">
        <f t="shared" si="5"/>
        <v>4275</v>
      </c>
      <c r="AA8" s="13">
        <f t="shared" si="7"/>
        <v>28916.59970465631</v>
      </c>
      <c r="AB8" s="12">
        <f t="shared" si="8"/>
        <v>123618463.73740572</v>
      </c>
      <c r="AC8" s="12">
        <f t="shared" si="9"/>
        <v>937</v>
      </c>
      <c r="AD8" s="13">
        <f t="shared" si="10"/>
        <v>21548.890042689432</v>
      </c>
      <c r="AE8" s="12">
        <f t="shared" si="11"/>
        <v>20191309.969999999</v>
      </c>
      <c r="AF8" s="61"/>
      <c r="AG8" s="14">
        <f t="shared" si="12"/>
        <v>3543</v>
      </c>
      <c r="AH8" s="14">
        <f t="shared" si="13"/>
        <v>512</v>
      </c>
    </row>
    <row r="9" spans="1:34" x14ac:dyDescent="0.25">
      <c r="A9" s="29" t="s">
        <v>9</v>
      </c>
      <c r="B9" s="35">
        <v>2950</v>
      </c>
      <c r="C9" s="16">
        <v>18257.71</v>
      </c>
      <c r="D9" s="15">
        <f t="shared" ref="D9:D10" si="15">B9*C9</f>
        <v>53860244.5</v>
      </c>
      <c r="E9" s="15">
        <f>'[14]ввод 2021'!$D$37</f>
        <v>3736</v>
      </c>
      <c r="F9" s="16">
        <f t="shared" si="6"/>
        <v>18674.481755888653</v>
      </c>
      <c r="G9" s="36">
        <f>'[14]ввод 2021'!$D$39++ROUND(E9/($E$11-$E$5)*'[14]ввод 2021'!$D$44,2)</f>
        <v>69767863.840000004</v>
      </c>
      <c r="H9" s="35">
        <f>[15]свод!H9</f>
        <v>210</v>
      </c>
      <c r="I9" s="16">
        <f t="shared" si="0"/>
        <v>33544.83</v>
      </c>
      <c r="J9" s="15">
        <f>[15]свод!J9</f>
        <v>7044414.3000000007</v>
      </c>
      <c r="K9" s="15"/>
      <c r="L9" s="16"/>
      <c r="M9" s="36"/>
      <c r="N9" s="35">
        <f>[17]свод!Q9</f>
        <v>1955</v>
      </c>
      <c r="O9" s="16">
        <f t="shared" si="1"/>
        <v>55422.99</v>
      </c>
      <c r="P9" s="15">
        <f>[17]свод!S9</f>
        <v>108351945.45</v>
      </c>
      <c r="Q9" s="15">
        <f>[18]год!$B81</f>
        <v>1000</v>
      </c>
      <c r="R9" s="16">
        <f t="shared" si="2"/>
        <v>55422.99</v>
      </c>
      <c r="S9" s="36">
        <f>[18]год!$C81</f>
        <v>55422990</v>
      </c>
      <c r="T9" s="35">
        <f>[17]свод!W41</f>
        <v>2226</v>
      </c>
      <c r="U9" s="16">
        <f t="shared" si="3"/>
        <v>60056.95112683194</v>
      </c>
      <c r="V9" s="15">
        <f>[17]свод!Y41</f>
        <v>133686773.2083279</v>
      </c>
      <c r="W9" s="15">
        <v>3000</v>
      </c>
      <c r="X9" s="16">
        <f t="shared" si="4"/>
        <v>58748.37</v>
      </c>
      <c r="Y9" s="36">
        <v>176245110</v>
      </c>
      <c r="Z9" s="15">
        <f t="shared" si="5"/>
        <v>7341</v>
      </c>
      <c r="AA9" s="16">
        <f t="shared" si="7"/>
        <v>41267.317457884194</v>
      </c>
      <c r="AB9" s="15">
        <f t="shared" si="8"/>
        <v>302943377.45832789</v>
      </c>
      <c r="AC9" s="12">
        <f t="shared" si="9"/>
        <v>7736</v>
      </c>
      <c r="AD9" s="16">
        <f t="shared" si="10"/>
        <v>38965.352099276119</v>
      </c>
      <c r="AE9" s="12">
        <f t="shared" si="11"/>
        <v>301435963.84000003</v>
      </c>
      <c r="AF9" s="46">
        <f>SUM([19]свод!$C$3:$G$3)</f>
        <v>20713</v>
      </c>
      <c r="AG9" s="14">
        <f t="shared" si="12"/>
        <v>5115</v>
      </c>
      <c r="AH9" s="14">
        <f t="shared" si="13"/>
        <v>4736</v>
      </c>
    </row>
    <row r="10" spans="1:34" x14ac:dyDescent="0.25">
      <c r="A10" s="29" t="s">
        <v>10</v>
      </c>
      <c r="B10" s="35">
        <v>8850</v>
      </c>
      <c r="C10" s="16">
        <v>12825.55</v>
      </c>
      <c r="D10" s="15">
        <f t="shared" si="15"/>
        <v>113506117.5</v>
      </c>
      <c r="E10" s="15">
        <f>'[14]ввод 2021'!$D$40</f>
        <v>11223</v>
      </c>
      <c r="F10" s="16">
        <f t="shared" si="6"/>
        <v>13253.651755323892</v>
      </c>
      <c r="G10" s="36">
        <f>'[14]ввод 2021'!$D$42++ROUND(E10/($E$11-$E$5)*'[14]ввод 2021'!$D$44,2)</f>
        <v>148745733.65000004</v>
      </c>
      <c r="H10" s="35">
        <f>[15]свод!H10</f>
        <v>634</v>
      </c>
      <c r="I10" s="16">
        <f t="shared" si="0"/>
        <v>14270.209999999997</v>
      </c>
      <c r="J10" s="15">
        <f>[15]свод!J10</f>
        <v>9047313.1399999987</v>
      </c>
      <c r="K10" s="15">
        <f>[16]год_отчёт!$B$45</f>
        <v>3193</v>
      </c>
      <c r="L10" s="16">
        <f t="shared" si="14"/>
        <v>14270.210000000001</v>
      </c>
      <c r="M10" s="36">
        <f>[16]год_отчёт!$B$56</f>
        <v>45564780.530000001</v>
      </c>
      <c r="N10" s="35">
        <f>[17]свод!Q10</f>
        <v>5867</v>
      </c>
      <c r="O10" s="16">
        <f t="shared" si="1"/>
        <v>16585.080000000002</v>
      </c>
      <c r="P10" s="15">
        <f>[17]свод!S10</f>
        <v>97304664.360000014</v>
      </c>
      <c r="Q10" s="15">
        <f>[18]год!$B82</f>
        <v>11275</v>
      </c>
      <c r="R10" s="16">
        <f t="shared" si="2"/>
        <v>16585.080000000002</v>
      </c>
      <c r="S10" s="36">
        <f>[18]год!$C82</f>
        <v>186996777.00000003</v>
      </c>
      <c r="T10" s="35">
        <f>[17]свод!W42</f>
        <v>6665</v>
      </c>
      <c r="U10" s="16">
        <f t="shared" si="3"/>
        <v>17971.777117057369</v>
      </c>
      <c r="V10" s="15">
        <f>[17]свод!Y42</f>
        <v>119781894.48518737</v>
      </c>
      <c r="W10" s="15">
        <v>7350</v>
      </c>
      <c r="X10" s="16">
        <f t="shared" si="4"/>
        <v>17580.189999999999</v>
      </c>
      <c r="Y10" s="36">
        <v>129214396.49999999</v>
      </c>
      <c r="Z10" s="15">
        <f t="shared" si="5"/>
        <v>22016</v>
      </c>
      <c r="AA10" s="16">
        <f t="shared" si="7"/>
        <v>15426.961731703641</v>
      </c>
      <c r="AB10" s="15">
        <f t="shared" si="8"/>
        <v>339639989.48518735</v>
      </c>
      <c r="AC10" s="12">
        <f t="shared" si="9"/>
        <v>33041</v>
      </c>
      <c r="AD10" s="16">
        <f t="shared" si="10"/>
        <v>15451.157279743351</v>
      </c>
      <c r="AE10" s="12">
        <f t="shared" si="11"/>
        <v>510521687.68000007</v>
      </c>
      <c r="AF10" s="46">
        <f>AF9*3</f>
        <v>62139</v>
      </c>
      <c r="AG10" s="14">
        <f t="shared" si="12"/>
        <v>15351</v>
      </c>
      <c r="AH10" s="14">
        <f t="shared" si="13"/>
        <v>25691</v>
      </c>
    </row>
    <row r="11" spans="1:34" ht="15.75" thickBot="1" x14ac:dyDescent="0.3">
      <c r="A11" s="27"/>
      <c r="B11" s="37">
        <f>SUM(B4:B10)</f>
        <v>299836</v>
      </c>
      <c r="C11" s="38"/>
      <c r="D11" s="39">
        <f>([20]СПб!$Z$17+[20]СПб!$Z$18)*1000</f>
        <v>1669300334.8354266</v>
      </c>
      <c r="E11" s="40">
        <f>SUM(E4:E10)</f>
        <v>273922</v>
      </c>
      <c r="F11" s="38"/>
      <c r="G11" s="41">
        <f>SUM(G4:G10)</f>
        <v>1669297582.4199998</v>
      </c>
      <c r="H11" s="37">
        <f>SUM(H4:H10)</f>
        <v>103192</v>
      </c>
      <c r="I11" s="38"/>
      <c r="J11" s="39">
        <f>SUM(J4:J10)</f>
        <v>949544800.78999996</v>
      </c>
      <c r="K11" s="40">
        <f>SUM(K4:K10)</f>
        <v>120411</v>
      </c>
      <c r="L11" s="38"/>
      <c r="M11" s="41">
        <f>SUM(M4:M10)</f>
        <v>949524332.31000006</v>
      </c>
      <c r="N11" s="37">
        <f>SUM(N4:N10)</f>
        <v>78762</v>
      </c>
      <c r="O11" s="38"/>
      <c r="P11" s="39">
        <f>SUM(P4:P10)</f>
        <v>1028905034.9299999</v>
      </c>
      <c r="Q11" s="40">
        <f>SUM(Q4:Q10)</f>
        <v>82940</v>
      </c>
      <c r="R11" s="38"/>
      <c r="S11" s="41">
        <f>SUM(S4:S10)</f>
        <v>1028897595.53</v>
      </c>
      <c r="T11" s="37">
        <f>SUM(T4:T10)</f>
        <v>78778</v>
      </c>
      <c r="U11" s="38"/>
      <c r="V11" s="39">
        <f>SUM(V4:V10)</f>
        <v>1256543930.5900002</v>
      </c>
      <c r="W11" s="40">
        <f>SUM(W4:W10)</f>
        <v>86078</v>
      </c>
      <c r="X11" s="38"/>
      <c r="Y11" s="41">
        <f>SUM(Y4:Y10)</f>
        <v>1186543794.7499998</v>
      </c>
      <c r="Z11" s="17">
        <f>SUM(Z4:Z10)</f>
        <v>560568</v>
      </c>
      <c r="AA11" s="10"/>
      <c r="AB11" s="18">
        <f>SUM(AB4:AB10)</f>
        <v>4904294101.1454277</v>
      </c>
      <c r="AC11" s="17">
        <f>SUM(AC4:AC10)</f>
        <v>563351</v>
      </c>
      <c r="AD11" s="10"/>
      <c r="AE11" s="18">
        <f>SUM(AE4:AE10)</f>
        <v>4834263305.0099993</v>
      </c>
      <c r="AF11" s="10"/>
      <c r="AG11" s="52">
        <f>SUM(AG4:AG10)</f>
        <v>481790</v>
      </c>
      <c r="AH11" s="52">
        <f>SUM(AH4:AH10)</f>
        <v>477273</v>
      </c>
    </row>
    <row r="12" spans="1:34" ht="15.75" thickTop="1" x14ac:dyDescent="0.25">
      <c r="E12" s="19">
        <f>E11-E5</f>
        <v>224022</v>
      </c>
      <c r="G12" s="49">
        <f>G11-G5</f>
        <v>1457337352.4199998</v>
      </c>
      <c r="L12" s="47"/>
      <c r="M12" s="24"/>
      <c r="S12" s="51"/>
      <c r="Y12" s="45"/>
    </row>
    <row r="13" spans="1:34" x14ac:dyDescent="0.25">
      <c r="D13" s="19"/>
      <c r="E13" s="19"/>
      <c r="F13" s="19"/>
      <c r="G13" s="49"/>
      <c r="J13"/>
      <c r="K13"/>
      <c r="L13" s="47"/>
      <c r="M13" s="24"/>
      <c r="P13"/>
      <c r="Q13"/>
      <c r="R13" s="47"/>
      <c r="S13" s="24"/>
      <c r="T13"/>
      <c r="U13"/>
      <c r="V13"/>
      <c r="W13"/>
      <c r="X13"/>
      <c r="Y13"/>
    </row>
    <row r="14" spans="1:34" x14ac:dyDescent="0.25">
      <c r="A14" s="20"/>
      <c r="B14" s="20"/>
      <c r="C14" s="20"/>
      <c r="D14" s="19"/>
      <c r="E14" s="19"/>
      <c r="F14" s="19"/>
      <c r="G14" s="19"/>
      <c r="H14" s="20"/>
      <c r="I14" s="20"/>
      <c r="J14"/>
      <c r="K14"/>
      <c r="L14"/>
      <c r="N14" s="20"/>
      <c r="O14" s="20"/>
      <c r="P14"/>
      <c r="Q14"/>
      <c r="R14"/>
      <c r="S14"/>
      <c r="T14"/>
      <c r="U14"/>
      <c r="V14"/>
      <c r="W14"/>
      <c r="X14"/>
      <c r="Y14"/>
    </row>
    <row r="15" spans="1:34" x14ac:dyDescent="0.25">
      <c r="S15" s="49"/>
      <c r="W15"/>
      <c r="X15"/>
      <c r="Y15"/>
    </row>
    <row r="16" spans="1:34" x14ac:dyDescent="0.25">
      <c r="B16" s="19"/>
      <c r="H16" s="19"/>
      <c r="N16" s="19"/>
      <c r="T16" s="19"/>
    </row>
    <row r="17" spans="1:34" ht="15.75" thickBot="1" x14ac:dyDescent="0.3">
      <c r="B17" s="19"/>
      <c r="H17" s="19"/>
      <c r="N17" s="19"/>
      <c r="T17" s="19"/>
    </row>
    <row r="18" spans="1:34" ht="30.75" thickTop="1" x14ac:dyDescent="0.25">
      <c r="A18" s="62" t="s">
        <v>6</v>
      </c>
      <c r="B18" s="57" t="s">
        <v>31</v>
      </c>
      <c r="C18" s="58"/>
      <c r="D18" s="58"/>
      <c r="E18" s="58" t="s">
        <v>32</v>
      </c>
      <c r="F18" s="58"/>
      <c r="G18" s="59"/>
      <c r="H18" s="57" t="s">
        <v>33</v>
      </c>
      <c r="I18" s="58"/>
      <c r="J18" s="58"/>
      <c r="K18" s="58" t="s">
        <v>43</v>
      </c>
      <c r="L18" s="58"/>
      <c r="M18" s="59"/>
      <c r="N18" s="57" t="s">
        <v>36</v>
      </c>
      <c r="O18" s="58"/>
      <c r="P18" s="58"/>
      <c r="Q18" s="58" t="s">
        <v>47</v>
      </c>
      <c r="R18" s="58"/>
      <c r="S18" s="59"/>
      <c r="T18" s="57" t="s">
        <v>37</v>
      </c>
      <c r="U18" s="58"/>
      <c r="V18" s="58"/>
      <c r="W18" s="58" t="s">
        <v>38</v>
      </c>
      <c r="X18" s="58"/>
      <c r="Y18" s="59"/>
      <c r="Z18" s="56" t="s">
        <v>39</v>
      </c>
      <c r="AA18" s="56"/>
      <c r="AB18" s="56"/>
      <c r="AC18" s="56" t="s">
        <v>40</v>
      </c>
      <c r="AD18" s="56"/>
      <c r="AE18" s="56"/>
      <c r="AF18" s="2" t="s">
        <v>41</v>
      </c>
      <c r="AG18" s="56" t="s">
        <v>44</v>
      </c>
      <c r="AH18" s="56"/>
    </row>
    <row r="19" spans="1:34" ht="60" customHeight="1" x14ac:dyDescent="0.25">
      <c r="A19" s="63"/>
      <c r="B19" s="30" t="s">
        <v>2</v>
      </c>
      <c r="C19" s="2" t="s">
        <v>3</v>
      </c>
      <c r="D19" s="2" t="s">
        <v>4</v>
      </c>
      <c r="E19" s="26" t="s">
        <v>2</v>
      </c>
      <c r="F19" s="2" t="s">
        <v>3</v>
      </c>
      <c r="G19" s="31" t="s">
        <v>4</v>
      </c>
      <c r="H19" s="30" t="s">
        <v>2</v>
      </c>
      <c r="I19" s="2" t="s">
        <v>3</v>
      </c>
      <c r="J19" s="2" t="s">
        <v>4</v>
      </c>
      <c r="K19" s="26" t="s">
        <v>2</v>
      </c>
      <c r="L19" s="2" t="s">
        <v>3</v>
      </c>
      <c r="M19" s="31" t="s">
        <v>4</v>
      </c>
      <c r="N19" s="30" t="s">
        <v>2</v>
      </c>
      <c r="O19" s="2" t="s">
        <v>3</v>
      </c>
      <c r="P19" s="2" t="s">
        <v>4</v>
      </c>
      <c r="Q19" s="26" t="s">
        <v>2</v>
      </c>
      <c r="R19" s="2" t="s">
        <v>3</v>
      </c>
      <c r="S19" s="31" t="s">
        <v>4</v>
      </c>
      <c r="T19" s="30" t="s">
        <v>2</v>
      </c>
      <c r="U19" s="2" t="s">
        <v>3</v>
      </c>
      <c r="V19" s="2" t="s">
        <v>4</v>
      </c>
      <c r="W19" s="26" t="s">
        <v>2</v>
      </c>
      <c r="X19" s="2" t="s">
        <v>3</v>
      </c>
      <c r="Y19" s="31" t="s">
        <v>4</v>
      </c>
      <c r="Z19" s="26" t="s">
        <v>2</v>
      </c>
      <c r="AA19" s="2" t="s">
        <v>3</v>
      </c>
      <c r="AB19" s="2" t="s">
        <v>4</v>
      </c>
      <c r="AC19" s="26" t="s">
        <v>2</v>
      </c>
      <c r="AD19" s="2" t="s">
        <v>3</v>
      </c>
      <c r="AE19" s="2" t="s">
        <v>4</v>
      </c>
      <c r="AF19" s="26" t="s">
        <v>2</v>
      </c>
      <c r="AG19" s="50" t="s">
        <v>45</v>
      </c>
      <c r="AH19" s="50" t="s">
        <v>46</v>
      </c>
    </row>
    <row r="20" spans="1:34" x14ac:dyDescent="0.25">
      <c r="A20" s="27" t="s">
        <v>7</v>
      </c>
      <c r="B20" s="32">
        <v>16348</v>
      </c>
      <c r="C20" s="13">
        <v>5080.49</v>
      </c>
      <c r="D20" s="14">
        <f>B20*C20</f>
        <v>83055850.519999996</v>
      </c>
      <c r="E20" s="12">
        <f>'[14]ввод 2021'!$E$7+'[14]ввод 2021'!$E$10</f>
        <v>16348</v>
      </c>
      <c r="F20" s="13">
        <f>G20/E20</f>
        <v>5073.7406728651813</v>
      </c>
      <c r="G20" s="33">
        <f>'[14]ввод 2021'!$E$9+'[14]ввод 2021'!$E$12+ROUND(E20/$E$26*'[14]ввод 2021'!$E$44,2)</f>
        <v>82945512.519999981</v>
      </c>
      <c r="H20" s="32">
        <v>8737</v>
      </c>
      <c r="I20" s="13">
        <v>6694.3407946999996</v>
      </c>
      <c r="J20" s="14">
        <f>H20*I20</f>
        <v>58488455.523293898</v>
      </c>
      <c r="K20" s="12">
        <f>[16]год_отчёт!$C40</f>
        <v>12279</v>
      </c>
      <c r="L20" s="13">
        <f t="shared" ref="L20:L25" si="16">M20/K20</f>
        <v>7695.4006669924274</v>
      </c>
      <c r="M20" s="33">
        <f>[16]год_отчёт!$C51</f>
        <v>94491824.790000021</v>
      </c>
      <c r="N20" s="32">
        <f>[17]свод!Q20</f>
        <v>8647</v>
      </c>
      <c r="O20" s="13">
        <f t="shared" ref="O20:O25" si="17">P20/N20</f>
        <v>8744.89342315254</v>
      </c>
      <c r="P20" s="14">
        <f>[17]свод!S20</f>
        <v>75617093.430000007</v>
      </c>
      <c r="Q20" s="12">
        <f>[18]год!$D$76</f>
        <v>9665</v>
      </c>
      <c r="R20" s="13">
        <f t="shared" ref="R20:R25" si="18">S20/Q20</f>
        <v>8744.9162472840162</v>
      </c>
      <c r="S20" s="33">
        <f>[18]год!$E$76</f>
        <v>84519615.530000016</v>
      </c>
      <c r="T20" s="32">
        <f>[17]свод!$W20</f>
        <v>6909</v>
      </c>
      <c r="U20" s="13">
        <f t="shared" ref="U20:U25" si="19">V20/T20</f>
        <v>11688.038795822538</v>
      </c>
      <c r="V20" s="14">
        <f>[17]свод!$Y20</f>
        <v>80752660.04033792</v>
      </c>
      <c r="W20" s="12">
        <v>10787</v>
      </c>
      <c r="X20" s="13">
        <f t="shared" ref="X20" si="20">Y20/W20</f>
        <v>9552.6055223880612</v>
      </c>
      <c r="Y20" s="33">
        <v>103043955.77000001</v>
      </c>
      <c r="Z20" s="12">
        <f t="shared" ref="Z20:Z25" si="21">B20+H20+N20+T20</f>
        <v>40641</v>
      </c>
      <c r="AA20" s="13">
        <f>AB20/Z20</f>
        <v>7330.3821144566282</v>
      </c>
      <c r="AB20" s="12">
        <f t="shared" ref="AB20:AC22" si="22">D20+J20+P20+V20</f>
        <v>297914059.51363182</v>
      </c>
      <c r="AC20" s="12">
        <f t="shared" si="22"/>
        <v>49079</v>
      </c>
      <c r="AD20" s="13">
        <f>AE20/AC20</f>
        <v>7437.0078569245507</v>
      </c>
      <c r="AE20" s="12">
        <f t="shared" ref="AE20:AE23" si="23">G20+M20+S20+Y20</f>
        <v>365000908.61000001</v>
      </c>
      <c r="AF20" s="46">
        <f>'обоснования ЛО'!G13</f>
        <v>61939</v>
      </c>
      <c r="AG20" s="14">
        <f t="shared" ref="AG20:AG25" si="24">B20+H20+N20</f>
        <v>33732</v>
      </c>
      <c r="AH20" s="14">
        <f t="shared" ref="AH20:AH25" si="25">E20+K20+Q20</f>
        <v>38292</v>
      </c>
    </row>
    <row r="21" spans="1:34" x14ac:dyDescent="0.25">
      <c r="A21" s="27" t="s">
        <v>1</v>
      </c>
      <c r="B21" s="32">
        <v>948</v>
      </c>
      <c r="C21" s="13">
        <v>8155.18</v>
      </c>
      <c r="D21" s="14">
        <f>B21*C21</f>
        <v>7731110.6400000006</v>
      </c>
      <c r="E21" s="14">
        <f>'[14]ввод 2021'!$E$20</f>
        <v>85</v>
      </c>
      <c r="F21" s="13">
        <f t="shared" ref="F21:F25" si="26">G21/E21</f>
        <v>8142.0107058823523</v>
      </c>
      <c r="G21" s="33">
        <f>'[14]ввод 2021'!$E$16+'[14]ввод 2021'!$E$19++ROUND(E21/$E$26*'[14]ввод 2021'!$E$44,2)</f>
        <v>692070.90999999992</v>
      </c>
      <c r="H21" s="32">
        <v>201</v>
      </c>
      <c r="I21" s="13">
        <v>11597.761494100001</v>
      </c>
      <c r="J21" s="14">
        <f t="shared" ref="J21:J25" si="27">H21*I21</f>
        <v>2331150.0603141002</v>
      </c>
      <c r="K21" s="12">
        <f>[16]год_отчёт!$C41</f>
        <v>99</v>
      </c>
      <c r="L21" s="13">
        <f t="shared" si="16"/>
        <v>10639.537777777778</v>
      </c>
      <c r="M21" s="33">
        <f>[16]год_отчёт!$C52</f>
        <v>1053314.24</v>
      </c>
      <c r="N21" s="32">
        <f>[17]свод!Q21</f>
        <v>338</v>
      </c>
      <c r="O21" s="13">
        <f t="shared" si="17"/>
        <v>22635.540591715977</v>
      </c>
      <c r="P21" s="14">
        <f>[17]свод!S21</f>
        <v>7650812.7200000007</v>
      </c>
      <c r="Q21" s="14">
        <f>[18]год!$D$77</f>
        <v>90</v>
      </c>
      <c r="R21" s="13">
        <f t="shared" si="18"/>
        <v>17590.31688888889</v>
      </c>
      <c r="S21" s="33">
        <f>[18]год!$E$77</f>
        <v>1583128.5200000003</v>
      </c>
      <c r="T21" s="32">
        <f>[17]свод!$W21</f>
        <v>119</v>
      </c>
      <c r="U21" s="13">
        <f t="shared" si="19"/>
        <v>22708.822946093733</v>
      </c>
      <c r="V21" s="14">
        <f>[17]свод!$Y21</f>
        <v>2702349.9305851543</v>
      </c>
      <c r="W21" s="14">
        <v>118</v>
      </c>
      <c r="X21" s="13">
        <f t="shared" ref="X21:X25" si="28">Y21/W21</f>
        <v>19162.180338983053</v>
      </c>
      <c r="Y21" s="33">
        <v>2261137.2800000003</v>
      </c>
      <c r="Z21" s="12">
        <f t="shared" si="21"/>
        <v>1606</v>
      </c>
      <c r="AA21" s="13">
        <f t="shared" ref="AA21:AA25" si="29">AB21/Z21</f>
        <v>12711.969707907383</v>
      </c>
      <c r="AB21" s="12">
        <f t="shared" si="22"/>
        <v>20415423.350899257</v>
      </c>
      <c r="AC21" s="12">
        <f>E21+K21+Q21+W21</f>
        <v>392</v>
      </c>
      <c r="AD21" s="13">
        <f t="shared" ref="AD21:AD22" si="30">AE21/AC21</f>
        <v>14259.313647959185</v>
      </c>
      <c r="AE21" s="12">
        <f t="shared" si="23"/>
        <v>5589650.9500000002</v>
      </c>
      <c r="AF21" s="46">
        <f>'обоснования ЛО'!G14</f>
        <v>807</v>
      </c>
      <c r="AG21" s="14">
        <f t="shared" si="24"/>
        <v>1487</v>
      </c>
      <c r="AH21" s="14">
        <f t="shared" si="25"/>
        <v>274</v>
      </c>
    </row>
    <row r="22" spans="1:34" x14ac:dyDescent="0.25">
      <c r="A22" s="28" t="s">
        <v>35</v>
      </c>
      <c r="B22" s="32">
        <v>180</v>
      </c>
      <c r="C22" s="13">
        <v>25647.39</v>
      </c>
      <c r="D22" s="14">
        <f>B22*C22</f>
        <v>4616530.2</v>
      </c>
      <c r="E22" s="14">
        <f>'[14]ввод 2021'!$E$21</f>
        <v>98</v>
      </c>
      <c r="F22" s="13">
        <f t="shared" si="26"/>
        <v>23814.588673469392</v>
      </c>
      <c r="G22" s="33">
        <f>'[14]ввод 2021'!$E$24+'[14]ввод 2021'!$E$27+'[14]ввод 2021'!$E$30+'[14]ввод 2021'!$E$33+'[14]ввод 2021'!$E$36++ROUND(E22/$E$26*'[14]ввод 2021'!$E$44,2)</f>
        <v>2333829.6900000004</v>
      </c>
      <c r="H22" s="32">
        <v>119</v>
      </c>
      <c r="I22" s="13">
        <v>29652.896886299997</v>
      </c>
      <c r="J22" s="14">
        <f t="shared" si="27"/>
        <v>3528694.7294696998</v>
      </c>
      <c r="K22" s="12">
        <f>[16]год_отчёт!$C43</f>
        <v>315</v>
      </c>
      <c r="L22" s="13">
        <f t="shared" si="16"/>
        <v>26453.577936507936</v>
      </c>
      <c r="M22" s="33">
        <f>[16]год_отчёт!$C54</f>
        <v>8332877.0499999998</v>
      </c>
      <c r="N22" s="32">
        <f>[17]свод!Q22</f>
        <v>711</v>
      </c>
      <c r="O22" s="13">
        <f t="shared" si="17"/>
        <v>34998.276427566809</v>
      </c>
      <c r="P22" s="14">
        <f>[17]свод!S22</f>
        <v>24883774.539999999</v>
      </c>
      <c r="Q22" s="14">
        <f>[18]год!$D$80</f>
        <v>982</v>
      </c>
      <c r="R22" s="13">
        <f t="shared" si="18"/>
        <v>34277.79244399185</v>
      </c>
      <c r="S22" s="33">
        <f>[18]год!$E$80</f>
        <v>33660792.18</v>
      </c>
      <c r="T22" s="32">
        <f>[17]свод!$W22</f>
        <v>760</v>
      </c>
      <c r="U22" s="13">
        <f t="shared" si="19"/>
        <v>45489.880236895049</v>
      </c>
      <c r="V22" s="14">
        <f>[17]свод!$Y22</f>
        <v>34572308.980040237</v>
      </c>
      <c r="W22" s="12">
        <v>1025</v>
      </c>
      <c r="X22" s="13">
        <f t="shared" si="28"/>
        <v>38169.611463414636</v>
      </c>
      <c r="Y22" s="33">
        <v>39123851.75</v>
      </c>
      <c r="Z22" s="12">
        <f t="shared" si="21"/>
        <v>1770</v>
      </c>
      <c r="AA22" s="13">
        <f t="shared" si="29"/>
        <v>38192.829632491485</v>
      </c>
      <c r="AB22" s="12">
        <f t="shared" si="22"/>
        <v>67601308.449509934</v>
      </c>
      <c r="AC22" s="12">
        <f t="shared" si="22"/>
        <v>2420</v>
      </c>
      <c r="AD22" s="13">
        <f t="shared" si="30"/>
        <v>34484.029202479338</v>
      </c>
      <c r="AE22" s="12">
        <f t="shared" si="23"/>
        <v>83451350.670000002</v>
      </c>
      <c r="AF22" s="60">
        <f>'обоснования ЛО'!G15</f>
        <v>10798</v>
      </c>
      <c r="AG22" s="14">
        <f t="shared" si="24"/>
        <v>1010</v>
      </c>
      <c r="AH22" s="14">
        <f t="shared" si="25"/>
        <v>1395</v>
      </c>
    </row>
    <row r="23" spans="1:34" x14ac:dyDescent="0.25">
      <c r="A23" s="28" t="s">
        <v>34</v>
      </c>
      <c r="B23" s="32"/>
      <c r="C23" s="13"/>
      <c r="D23" s="14"/>
      <c r="E23" s="14"/>
      <c r="F23" s="13"/>
      <c r="G23" s="33"/>
      <c r="H23" s="32"/>
      <c r="I23" s="13"/>
      <c r="J23" s="14"/>
      <c r="K23" s="12">
        <f>[16]год_отчёт!$C44</f>
        <v>27</v>
      </c>
      <c r="L23" s="13">
        <f t="shared" si="16"/>
        <v>17088.675925925927</v>
      </c>
      <c r="M23" s="33">
        <f>[16]год_отчёт!$C55</f>
        <v>461394.25</v>
      </c>
      <c r="N23" s="32">
        <f>[17]свод!Q23</f>
        <v>106</v>
      </c>
      <c r="O23" s="13">
        <f t="shared" si="17"/>
        <v>23446.776132075473</v>
      </c>
      <c r="P23" s="14">
        <f>[17]свод!S23</f>
        <v>2485358.27</v>
      </c>
      <c r="Q23" s="14">
        <f>[18]год!$D$79</f>
        <v>141</v>
      </c>
      <c r="R23" s="13">
        <f t="shared" si="18"/>
        <v>19738.669290780141</v>
      </c>
      <c r="S23" s="33">
        <f>[18]год!$E$79</f>
        <v>2783152.3699999996</v>
      </c>
      <c r="T23" s="32">
        <f>[17]свод!$W23</f>
        <v>66</v>
      </c>
      <c r="U23" s="13">
        <f t="shared" si="19"/>
        <v>42269.176252784091</v>
      </c>
      <c r="V23" s="14">
        <f>[17]свод!$Y23</f>
        <v>2789765.6326837502</v>
      </c>
      <c r="W23" s="14">
        <v>210</v>
      </c>
      <c r="X23" s="13">
        <f t="shared" si="28"/>
        <v>24747.96</v>
      </c>
      <c r="Y23" s="33">
        <v>5197071.5999999996</v>
      </c>
      <c r="Z23" s="12">
        <f t="shared" si="21"/>
        <v>172</v>
      </c>
      <c r="AA23" s="13">
        <f t="shared" ref="AA23" si="31">AB23/Z23</f>
        <v>30669.325015603197</v>
      </c>
      <c r="AB23" s="12">
        <f t="shared" ref="AB23" si="32">D23+J23+P23+V23</f>
        <v>5275123.9026837498</v>
      </c>
      <c r="AC23" s="12">
        <f>E23+K23+Q23+W23</f>
        <v>378</v>
      </c>
      <c r="AD23" s="13">
        <f t="shared" ref="AD23:AD25" si="33">AE23/AC23</f>
        <v>22332.32333333333</v>
      </c>
      <c r="AE23" s="12">
        <f t="shared" si="23"/>
        <v>8441618.2199999988</v>
      </c>
      <c r="AF23" s="61"/>
      <c r="AG23" s="14">
        <f t="shared" si="24"/>
        <v>106</v>
      </c>
      <c r="AH23" s="14">
        <f t="shared" si="25"/>
        <v>168</v>
      </c>
    </row>
    <row r="24" spans="1:34" x14ac:dyDescent="0.25">
      <c r="A24" s="29" t="s">
        <v>9</v>
      </c>
      <c r="B24" s="35">
        <v>208</v>
      </c>
      <c r="C24" s="16">
        <v>18257.71</v>
      </c>
      <c r="D24" s="15">
        <f t="shared" ref="D24:D25" si="34">B24*C24</f>
        <v>3797603.6799999997</v>
      </c>
      <c r="E24" s="15">
        <f>'[14]ввод 2021'!$E$37</f>
        <v>377</v>
      </c>
      <c r="F24" s="16">
        <f t="shared" si="26"/>
        <v>18223.480663129976</v>
      </c>
      <c r="G24" s="36">
        <f>'[14]ввод 2021'!$E$39++ROUND(E24/$E$26*'[14]ввод 2021'!$E$44,2)</f>
        <v>6870252.2100000009</v>
      </c>
      <c r="H24" s="35">
        <v>653</v>
      </c>
      <c r="I24" s="16">
        <v>21109.126506299999</v>
      </c>
      <c r="J24" s="15">
        <f t="shared" si="27"/>
        <v>13784259.608613899</v>
      </c>
      <c r="K24" s="15"/>
      <c r="L24" s="16"/>
      <c r="M24" s="36"/>
      <c r="N24" s="35">
        <f>[17]свод!Q24</f>
        <v>215</v>
      </c>
      <c r="O24" s="16">
        <f t="shared" si="17"/>
        <v>55422.99</v>
      </c>
      <c r="P24" s="15">
        <f>[17]свод!S24</f>
        <v>11915942.85</v>
      </c>
      <c r="Q24" s="15">
        <f>[18]год!$D81</f>
        <v>0</v>
      </c>
      <c r="R24" s="16"/>
      <c r="S24" s="36">
        <f>[18]год!$E81</f>
        <v>0</v>
      </c>
      <c r="T24" s="35">
        <f>[17]свод!$W24+[17]свод!$W28</f>
        <v>794</v>
      </c>
      <c r="U24" s="16">
        <f t="shared" si="19"/>
        <v>70044.494454548345</v>
      </c>
      <c r="V24" s="15">
        <f>[17]свод!$Y24+[17]свод!$Y28</f>
        <v>55615328.596911386</v>
      </c>
      <c r="W24" s="15">
        <v>700</v>
      </c>
      <c r="X24" s="16">
        <f t="shared" si="28"/>
        <v>58748.37</v>
      </c>
      <c r="Y24" s="36">
        <v>41123859</v>
      </c>
      <c r="Z24" s="15">
        <f t="shared" si="21"/>
        <v>1870</v>
      </c>
      <c r="AA24" s="16">
        <f t="shared" si="29"/>
        <v>45515.045313115123</v>
      </c>
      <c r="AB24" s="15">
        <f>D24+J24+P24+V24</f>
        <v>85113134.73552528</v>
      </c>
      <c r="AC24" s="15">
        <f>E24+K24+Q24+W24+W28</f>
        <v>1077</v>
      </c>
      <c r="AD24" s="16">
        <f t="shared" si="33"/>
        <v>44562.777353760444</v>
      </c>
      <c r="AE24" s="15">
        <f>G24+M24+S24+Y24+Y28</f>
        <v>47994111.210000001</v>
      </c>
      <c r="AF24" s="53">
        <f>SUM([19]свод!$C$4:$G$4)</f>
        <v>5399</v>
      </c>
      <c r="AG24" s="14">
        <f t="shared" si="24"/>
        <v>1076</v>
      </c>
      <c r="AH24" s="14">
        <f t="shared" si="25"/>
        <v>377</v>
      </c>
    </row>
    <row r="25" spans="1:34" x14ac:dyDescent="0.25">
      <c r="A25" s="29" t="s">
        <v>10</v>
      </c>
      <c r="B25" s="35">
        <v>624</v>
      </c>
      <c r="C25" s="16">
        <v>12825.55</v>
      </c>
      <c r="D25" s="15">
        <f t="shared" si="34"/>
        <v>8003143.1999999993</v>
      </c>
      <c r="E25" s="15">
        <f>'[14]ввод 2021'!$E$40</f>
        <v>1120</v>
      </c>
      <c r="F25" s="16">
        <f t="shared" si="26"/>
        <v>12802.650669642859</v>
      </c>
      <c r="G25" s="36">
        <f>'[14]ввод 2021'!$E$42++ROUND(E25/$E$26*'[14]ввод 2021'!$E$44,2)</f>
        <v>14338968.750000002</v>
      </c>
      <c r="H25" s="35">
        <v>1959</v>
      </c>
      <c r="I25" s="16">
        <v>14828.593214099999</v>
      </c>
      <c r="J25" s="15">
        <f t="shared" si="27"/>
        <v>29049214.106421899</v>
      </c>
      <c r="K25" s="15">
        <f>[16]год_отчёт!$C45</f>
        <v>200</v>
      </c>
      <c r="L25" s="16">
        <f t="shared" si="16"/>
        <v>14270.21</v>
      </c>
      <c r="M25" s="36">
        <f>[16]год_отчёт!$C56</f>
        <v>2854042</v>
      </c>
      <c r="N25" s="35">
        <f>[17]свод!Q25</f>
        <v>644</v>
      </c>
      <c r="O25" s="16">
        <f t="shared" si="17"/>
        <v>16585.080000000002</v>
      </c>
      <c r="P25" s="15">
        <f>[17]свод!S25</f>
        <v>10680791.520000001</v>
      </c>
      <c r="Q25" s="15">
        <f>[18]год!$D82</f>
        <v>644</v>
      </c>
      <c r="R25" s="16">
        <f t="shared" si="18"/>
        <v>16585.080000000002</v>
      </c>
      <c r="S25" s="36">
        <f>[18]год!$E82</f>
        <v>10680791.520000001</v>
      </c>
      <c r="T25" s="35">
        <f>[17]свод!$W25+[17]свод!$W29</f>
        <v>2382</v>
      </c>
      <c r="U25" s="16">
        <f t="shared" si="19"/>
        <v>20771.684327561987</v>
      </c>
      <c r="V25" s="15">
        <f>[17]свод!$Y25+[17]свод!$Y29</f>
        <v>49478152.068252653</v>
      </c>
      <c r="W25" s="15">
        <v>2000</v>
      </c>
      <c r="X25" s="16">
        <f t="shared" si="28"/>
        <v>17580.189999999999</v>
      </c>
      <c r="Y25" s="36">
        <v>35160380</v>
      </c>
      <c r="Z25" s="15">
        <f t="shared" si="21"/>
        <v>5609</v>
      </c>
      <c r="AA25" s="16">
        <f t="shared" si="29"/>
        <v>17331.306987818603</v>
      </c>
      <c r="AB25" s="15">
        <f>D25+J25+P25+V25</f>
        <v>97211300.894674554</v>
      </c>
      <c r="AC25" s="15">
        <f>E25+K25+Q25+W25+W29</f>
        <v>3964</v>
      </c>
      <c r="AD25" s="16">
        <f t="shared" si="33"/>
        <v>15901.660512108981</v>
      </c>
      <c r="AE25" s="15">
        <f>G25+M25+S25+Y25+Y29</f>
        <v>63034182.270000003</v>
      </c>
      <c r="AF25" s="46">
        <f>AF24*3</f>
        <v>16197</v>
      </c>
      <c r="AG25" s="14">
        <f t="shared" si="24"/>
        <v>3227</v>
      </c>
      <c r="AH25" s="14">
        <f t="shared" si="25"/>
        <v>1964</v>
      </c>
    </row>
    <row r="26" spans="1:34" ht="15.75" thickBot="1" x14ac:dyDescent="0.3">
      <c r="A26" s="27"/>
      <c r="B26" s="37">
        <f>SUM(B20:B25)</f>
        <v>18308</v>
      </c>
      <c r="C26" s="38"/>
      <c r="D26" s="39">
        <f>SUM(D20:D25)</f>
        <v>107204238.23999999</v>
      </c>
      <c r="E26" s="40">
        <f>SUM(E19:E25)</f>
        <v>18028</v>
      </c>
      <c r="F26" s="44"/>
      <c r="G26" s="41">
        <f>SUM(G20:G25)</f>
        <v>107180634.07999998</v>
      </c>
      <c r="H26" s="37">
        <f>SUM(H20:H25)</f>
        <v>11669</v>
      </c>
      <c r="I26" s="38"/>
      <c r="J26" s="39">
        <f>SUM(J20:J25)</f>
        <v>107181774.0281135</v>
      </c>
      <c r="K26" s="40">
        <f>SUM(K20:K25)</f>
        <v>12920</v>
      </c>
      <c r="L26" s="44"/>
      <c r="M26" s="41">
        <f>SUM(M20:M25)</f>
        <v>107193452.33000001</v>
      </c>
      <c r="N26" s="37">
        <f>SUM(N20:N25)</f>
        <v>10661</v>
      </c>
      <c r="O26" s="38"/>
      <c r="P26" s="39">
        <f>SUM(P20:P25)</f>
        <v>133233773.32999998</v>
      </c>
      <c r="Q26" s="40">
        <f>SUM(Q19:Q25)</f>
        <v>11522</v>
      </c>
      <c r="R26" s="44"/>
      <c r="S26" s="41">
        <f>SUM(S20:S25)</f>
        <v>133227480.12000002</v>
      </c>
      <c r="T26" s="37">
        <f>SUM(T20:T25)</f>
        <v>11030</v>
      </c>
      <c r="U26" s="38"/>
      <c r="V26" s="39">
        <f>SUM(V20:V25)</f>
        <v>225910565.2488111</v>
      </c>
      <c r="W26" s="40">
        <f>SUM(W19:W25)</f>
        <v>14840</v>
      </c>
      <c r="X26" s="44"/>
      <c r="Y26" s="41">
        <f>SUM(Y20:Y25)</f>
        <v>225910255.40000001</v>
      </c>
      <c r="Z26" s="17">
        <f>SUM(Z20:Z25)</f>
        <v>51668</v>
      </c>
      <c r="AA26" s="10"/>
      <c r="AB26" s="18">
        <f>SUM(AB19:AB25)</f>
        <v>573530350.84692454</v>
      </c>
      <c r="AC26" s="17">
        <f>SUM(AC20:AC25)</f>
        <v>57310</v>
      </c>
      <c r="AD26" s="10"/>
      <c r="AE26" s="18">
        <f>SUM(AE19:AE25)</f>
        <v>573511821.93000007</v>
      </c>
      <c r="AF26" s="54">
        <f>SUM(AF20:AF25)</f>
        <v>95140</v>
      </c>
      <c r="AG26" s="52">
        <f>SUM(AG20:AG25)</f>
        <v>40638</v>
      </c>
      <c r="AH26" s="52">
        <f>SUM(AH20:AH25)</f>
        <v>42470</v>
      </c>
    </row>
    <row r="27" spans="1:34" ht="15.75" thickTop="1" x14ac:dyDescent="0.25">
      <c r="J27"/>
      <c r="K27"/>
      <c r="L27" s="47"/>
      <c r="M27" s="24"/>
      <c r="P27"/>
      <c r="Q27"/>
      <c r="R27"/>
      <c r="S27"/>
      <c r="Y27" s="45"/>
    </row>
    <row r="28" spans="1:34" x14ac:dyDescent="0.25">
      <c r="D28" s="19"/>
      <c r="E28" s="19"/>
      <c r="F28" s="19"/>
      <c r="G28" s="19"/>
      <c r="J28"/>
      <c r="K28"/>
      <c r="L28" s="47"/>
      <c r="M28" s="24"/>
      <c r="P28"/>
      <c r="Q28"/>
      <c r="R28"/>
      <c r="S28"/>
      <c r="T28"/>
      <c r="U28"/>
      <c r="V28"/>
      <c r="W28"/>
      <c r="X28"/>
      <c r="Y28"/>
    </row>
    <row r="29" spans="1:34" x14ac:dyDescent="0.25">
      <c r="A29" s="20"/>
      <c r="B29" s="20"/>
      <c r="C29" s="20"/>
      <c r="D29" s="19"/>
      <c r="E29" s="19"/>
      <c r="F29" s="19"/>
      <c r="G29" s="19"/>
      <c r="H29" s="20"/>
      <c r="I29" s="20"/>
      <c r="J29"/>
      <c r="K29"/>
      <c r="L29"/>
      <c r="N29" s="20"/>
      <c r="O29" s="20"/>
      <c r="P29"/>
      <c r="Q29"/>
      <c r="R29"/>
      <c r="S29"/>
      <c r="T29"/>
      <c r="U29"/>
      <c r="V29"/>
      <c r="W29"/>
      <c r="X29"/>
      <c r="Y29"/>
    </row>
    <row r="30" spans="1:34" x14ac:dyDescent="0.25">
      <c r="P30"/>
      <c r="Q30"/>
      <c r="R30"/>
      <c r="S30"/>
      <c r="W30"/>
      <c r="X30"/>
      <c r="Y30"/>
    </row>
    <row r="31" spans="1:34" x14ac:dyDescent="0.25">
      <c r="A31"/>
      <c r="B31"/>
      <c r="C31"/>
      <c r="D31"/>
      <c r="E31"/>
      <c r="F31"/>
      <c r="G31"/>
      <c r="H31"/>
      <c r="I31"/>
      <c r="J31"/>
      <c r="K31"/>
      <c r="L31"/>
      <c r="P31"/>
      <c r="Q31"/>
      <c r="R31"/>
      <c r="S31"/>
      <c r="W31"/>
      <c r="X31"/>
      <c r="Y31"/>
    </row>
    <row r="32" spans="1:34" x14ac:dyDescent="0.25">
      <c r="A32"/>
      <c r="B32"/>
      <c r="C32"/>
      <c r="D32"/>
      <c r="E32"/>
      <c r="F32"/>
      <c r="G32"/>
      <c r="H32"/>
      <c r="I32"/>
      <c r="J32"/>
      <c r="K32"/>
      <c r="L32"/>
      <c r="P32"/>
      <c r="Q32"/>
      <c r="R32"/>
      <c r="S32"/>
      <c r="W32"/>
      <c r="X32"/>
      <c r="Y32"/>
    </row>
    <row r="33" spans="1:31" x14ac:dyDescent="0.25">
      <c r="A33"/>
      <c r="B33"/>
      <c r="C33"/>
      <c r="D33"/>
      <c r="E33"/>
      <c r="F33"/>
      <c r="G33"/>
      <c r="H33"/>
      <c r="I33"/>
      <c r="J33"/>
      <c r="K33"/>
      <c r="L33"/>
      <c r="P33"/>
      <c r="Q33"/>
      <c r="R33"/>
      <c r="S33"/>
      <c r="W33"/>
      <c r="X33"/>
      <c r="Y33"/>
    </row>
    <row r="34" spans="1:31" x14ac:dyDescent="0.25">
      <c r="A34"/>
      <c r="B34"/>
      <c r="C34"/>
      <c r="D34"/>
      <c r="E34"/>
      <c r="F34"/>
      <c r="G34"/>
      <c r="H34"/>
      <c r="I34"/>
      <c r="J34"/>
      <c r="K34"/>
      <c r="L34"/>
      <c r="P34"/>
      <c r="Q34"/>
      <c r="R34"/>
      <c r="S34"/>
      <c r="W34"/>
      <c r="X34"/>
      <c r="Y34"/>
    </row>
    <row r="35" spans="1:31" x14ac:dyDescent="0.25">
      <c r="A35"/>
      <c r="B35"/>
      <c r="C35"/>
      <c r="D35"/>
      <c r="E35"/>
      <c r="F35"/>
      <c r="G35"/>
      <c r="H35"/>
      <c r="I35"/>
      <c r="J35"/>
      <c r="K35"/>
      <c r="L35"/>
      <c r="P35"/>
      <c r="Q35"/>
      <c r="R35"/>
      <c r="S35"/>
      <c r="W35"/>
      <c r="X35"/>
      <c r="Y35"/>
    </row>
    <row r="36" spans="1:31" x14ac:dyDescent="0.25">
      <c r="A36"/>
      <c r="B36"/>
      <c r="C36"/>
      <c r="D36"/>
      <c r="E36"/>
      <c r="F36"/>
      <c r="G36"/>
      <c r="H36"/>
      <c r="I36"/>
      <c r="J36"/>
      <c r="K36"/>
      <c r="L36"/>
      <c r="P36"/>
      <c r="Q36"/>
      <c r="R36"/>
      <c r="S36"/>
      <c r="T36"/>
      <c r="U36"/>
      <c r="W36"/>
      <c r="X36"/>
      <c r="Y36"/>
    </row>
    <row r="37" spans="1:31" x14ac:dyDescent="0.25">
      <c r="A37"/>
      <c r="B37"/>
      <c r="C37"/>
      <c r="D37"/>
      <c r="E37"/>
      <c r="F37"/>
      <c r="G37"/>
      <c r="H37"/>
      <c r="I37"/>
      <c r="J37"/>
      <c r="K37"/>
      <c r="L37"/>
      <c r="P37"/>
      <c r="Q37"/>
      <c r="R37"/>
      <c r="S37"/>
      <c r="T37"/>
      <c r="U37"/>
      <c r="W37"/>
      <c r="X37"/>
      <c r="Y37"/>
      <c r="AC37" s="56" t="s">
        <v>40</v>
      </c>
      <c r="AD37" s="56"/>
      <c r="AE37" s="56"/>
    </row>
    <row r="38" spans="1:31" ht="30" x14ac:dyDescent="0.25">
      <c r="A38"/>
      <c r="B38"/>
      <c r="C38"/>
      <c r="D38"/>
      <c r="E38"/>
      <c r="F38"/>
      <c r="G38"/>
      <c r="H38"/>
      <c r="I38"/>
      <c r="J38"/>
      <c r="K38"/>
      <c r="L38"/>
      <c r="P38"/>
      <c r="Q38"/>
      <c r="R38"/>
      <c r="S38"/>
      <c r="T38"/>
      <c r="U38"/>
      <c r="W38"/>
      <c r="X38"/>
      <c r="Y38"/>
      <c r="AC38" s="48" t="s">
        <v>2</v>
      </c>
      <c r="AD38" s="2" t="s">
        <v>3</v>
      </c>
      <c r="AE38" s="2" t="s">
        <v>4</v>
      </c>
    </row>
    <row r="39" spans="1:31" x14ac:dyDescent="0.25">
      <c r="A39"/>
      <c r="B39"/>
      <c r="C39"/>
      <c r="D39"/>
      <c r="E39"/>
      <c r="F39"/>
      <c r="G39"/>
      <c r="H39"/>
      <c r="I39"/>
      <c r="J39"/>
      <c r="K39"/>
      <c r="L39"/>
      <c r="P39"/>
      <c r="Q39"/>
      <c r="R39"/>
      <c r="S39"/>
      <c r="T39"/>
      <c r="U39"/>
      <c r="W39"/>
      <c r="X39"/>
      <c r="Y39"/>
      <c r="AC39" s="12">
        <f>E5+K5</f>
        <v>49900</v>
      </c>
      <c r="AD39" s="13">
        <f>AE39/AC39</f>
        <v>4247.7</v>
      </c>
      <c r="AE39" s="12">
        <f>G5+M5</f>
        <v>211960230</v>
      </c>
    </row>
    <row r="40" spans="1:31" x14ac:dyDescent="0.25">
      <c r="A40"/>
      <c r="B40"/>
      <c r="C40"/>
      <c r="D40"/>
      <c r="E40"/>
      <c r="F40"/>
      <c r="G40"/>
      <c r="H40"/>
      <c r="I40"/>
      <c r="J40"/>
      <c r="K40"/>
      <c r="L40"/>
      <c r="P40"/>
      <c r="Q40"/>
      <c r="R40"/>
      <c r="S40"/>
      <c r="T40"/>
      <c r="U40"/>
      <c r="W40"/>
      <c r="X40"/>
      <c r="Y40"/>
      <c r="AC40" s="12">
        <f>E4+K4+Q40+W40</f>
        <v>308127</v>
      </c>
      <c r="AD40" s="13">
        <f t="shared" ref="AD40:AD45" si="35">AE40/AC40</f>
        <v>6112.3672714822123</v>
      </c>
      <c r="AE40" s="12">
        <f>G4+M4+S40+Y40</f>
        <v>1883385390.2599998</v>
      </c>
    </row>
    <row r="41" spans="1:31" x14ac:dyDescent="0.25">
      <c r="A41"/>
      <c r="B41"/>
      <c r="C41"/>
      <c r="D41"/>
      <c r="E41"/>
      <c r="F41"/>
      <c r="G41"/>
      <c r="H41"/>
      <c r="I41"/>
      <c r="J41"/>
      <c r="K41"/>
      <c r="L41"/>
      <c r="P41"/>
      <c r="Q41"/>
      <c r="R41"/>
      <c r="S41"/>
      <c r="T41"/>
      <c r="U41"/>
      <c r="W41"/>
      <c r="X41"/>
      <c r="Y41"/>
      <c r="AC41" s="12">
        <f>E6+K6+Q41+W41</f>
        <v>13083</v>
      </c>
      <c r="AE41" s="11">
        <f>G6+M6+S41+Y41</f>
        <v>132807689.66</v>
      </c>
    </row>
    <row r="42" spans="1:31" x14ac:dyDescent="0.25">
      <c r="A42"/>
      <c r="B42"/>
      <c r="C42"/>
      <c r="D42"/>
      <c r="E42"/>
      <c r="F42"/>
      <c r="G42"/>
      <c r="H42"/>
      <c r="I42"/>
      <c r="J42"/>
      <c r="K42"/>
      <c r="L42"/>
      <c r="P42"/>
      <c r="Q42"/>
      <c r="R42"/>
      <c r="S42"/>
      <c r="T42"/>
      <c r="U42"/>
      <c r="W42"/>
      <c r="X42"/>
      <c r="Y42"/>
      <c r="AC42" s="12">
        <f t="shared" ref="AC42:AE45" si="36">E7+K7+Q42+W42</f>
        <v>4901</v>
      </c>
      <c r="AD42" s="13">
        <f t="shared" si="35"/>
        <v>25246.733707406653</v>
      </c>
      <c r="AE42" s="12">
        <f t="shared" si="36"/>
        <v>123734241.90000001</v>
      </c>
    </row>
    <row r="43" spans="1:31" x14ac:dyDescent="0.25">
      <c r="A43"/>
      <c r="B43"/>
      <c r="C43"/>
      <c r="D43"/>
      <c r="E43"/>
      <c r="F43"/>
      <c r="G43"/>
      <c r="H43"/>
      <c r="I43"/>
      <c r="J43"/>
      <c r="K43"/>
      <c r="L43"/>
      <c r="P43"/>
      <c r="Q43"/>
      <c r="R43"/>
      <c r="S43"/>
      <c r="T43"/>
      <c r="U43"/>
      <c r="W43"/>
      <c r="X43"/>
      <c r="Y43"/>
      <c r="AC43" s="12">
        <f t="shared" si="36"/>
        <v>170</v>
      </c>
      <c r="AD43" s="13">
        <f t="shared" si="35"/>
        <v>16799.911117647058</v>
      </c>
      <c r="AE43" s="12">
        <f t="shared" si="36"/>
        <v>2855984.89</v>
      </c>
    </row>
    <row r="44" spans="1:31" x14ac:dyDescent="0.25">
      <c r="A44"/>
      <c r="B44"/>
      <c r="C44"/>
      <c r="D44"/>
      <c r="E44"/>
      <c r="F44"/>
      <c r="G44"/>
      <c r="H44"/>
      <c r="I44"/>
      <c r="J44"/>
      <c r="K44"/>
      <c r="L44"/>
      <c r="P44"/>
      <c r="Q44"/>
      <c r="R44"/>
      <c r="S44"/>
      <c r="T44"/>
      <c r="U44"/>
      <c r="W44"/>
      <c r="X44"/>
      <c r="Y44"/>
      <c r="AC44" s="15">
        <f t="shared" si="36"/>
        <v>3736</v>
      </c>
      <c r="AD44" s="16">
        <f t="shared" si="35"/>
        <v>18674.481755888653</v>
      </c>
      <c r="AE44" s="15">
        <f t="shared" si="36"/>
        <v>69767863.840000004</v>
      </c>
    </row>
    <row r="45" spans="1:31" x14ac:dyDescent="0.25">
      <c r="A45"/>
      <c r="B45"/>
      <c r="C45"/>
      <c r="D45"/>
      <c r="E45"/>
      <c r="F45"/>
      <c r="G45"/>
      <c r="H45"/>
      <c r="I45"/>
      <c r="J45"/>
      <c r="K45"/>
      <c r="L45"/>
      <c r="P45"/>
      <c r="Q45"/>
      <c r="R45"/>
      <c r="S45"/>
      <c r="T45"/>
      <c r="U45"/>
      <c r="V45"/>
      <c r="W45"/>
      <c r="X45"/>
      <c r="Y45"/>
      <c r="AC45" s="15">
        <f t="shared" si="36"/>
        <v>14416</v>
      </c>
      <c r="AD45" s="16">
        <f t="shared" si="35"/>
        <v>13478.809252219758</v>
      </c>
      <c r="AE45" s="15">
        <f t="shared" si="36"/>
        <v>194310514.18000004</v>
      </c>
    </row>
    <row r="46" spans="1:31" x14ac:dyDescent="0.25">
      <c r="P46"/>
      <c r="Q46"/>
      <c r="R46"/>
      <c r="S46"/>
      <c r="T46"/>
      <c r="U46"/>
      <c r="V46"/>
      <c r="W46"/>
      <c r="X46"/>
      <c r="Y46"/>
      <c r="AC46" s="17">
        <f>SUM(AC39:AC45)</f>
        <v>394333</v>
      </c>
      <c r="AD46" s="10"/>
      <c r="AE46" s="18">
        <f>SUM(AE39:AE45)</f>
        <v>2618821914.7299995</v>
      </c>
    </row>
    <row r="47" spans="1:31" x14ac:dyDescent="0.25">
      <c r="P47"/>
      <c r="Q47"/>
      <c r="R47"/>
      <c r="S47"/>
      <c r="T47"/>
      <c r="U47"/>
      <c r="V47"/>
      <c r="W47"/>
      <c r="X47"/>
      <c r="Y47"/>
    </row>
    <row r="48" spans="1:31" x14ac:dyDescent="0.25">
      <c r="P48"/>
      <c r="Q48"/>
      <c r="R48"/>
      <c r="S48"/>
      <c r="T48"/>
      <c r="U48"/>
      <c r="V48"/>
      <c r="W48"/>
      <c r="X48"/>
      <c r="Y48"/>
    </row>
    <row r="49" spans="16:29" x14ac:dyDescent="0.25">
      <c r="P49"/>
      <c r="Q49"/>
      <c r="R49"/>
      <c r="S49"/>
      <c r="T49"/>
      <c r="U49"/>
      <c r="V49"/>
      <c r="W49"/>
      <c r="X49"/>
      <c r="Y49"/>
      <c r="AC49" s="19">
        <f>Q46-Q11</f>
        <v>-82940</v>
      </c>
    </row>
    <row r="50" spans="16:29" x14ac:dyDescent="0.25">
      <c r="P50"/>
      <c r="Q50"/>
      <c r="R50"/>
      <c r="S50"/>
      <c r="T50"/>
      <c r="U50"/>
      <c r="V50"/>
      <c r="W50"/>
      <c r="X50"/>
      <c r="Y50"/>
      <c r="AC50" s="19">
        <f>W46-W11</f>
        <v>-86078</v>
      </c>
    </row>
    <row r="51" spans="16:29" x14ac:dyDescent="0.25">
      <c r="P51"/>
      <c r="Q51"/>
      <c r="R51"/>
      <c r="S51"/>
      <c r="T51"/>
      <c r="W51"/>
      <c r="X51"/>
      <c r="Y51"/>
    </row>
    <row r="52" spans="16:29" x14ac:dyDescent="0.25">
      <c r="T52"/>
      <c r="W52"/>
      <c r="X52"/>
      <c r="Y52"/>
    </row>
    <row r="53" spans="16:29" x14ac:dyDescent="0.25">
      <c r="T53"/>
      <c r="W53"/>
      <c r="X53"/>
      <c r="Y53"/>
    </row>
    <row r="54" spans="16:29" x14ac:dyDescent="0.25">
      <c r="T54"/>
      <c r="W54"/>
      <c r="X54"/>
      <c r="Y54"/>
    </row>
    <row r="56" spans="16:29" x14ac:dyDescent="0.25">
      <c r="T56"/>
    </row>
    <row r="57" spans="16:29" x14ac:dyDescent="0.25">
      <c r="T57"/>
    </row>
    <row r="58" spans="16:29" x14ac:dyDescent="0.25">
      <c r="T58"/>
    </row>
    <row r="59" spans="16:29" x14ac:dyDescent="0.25">
      <c r="T59"/>
    </row>
    <row r="60" spans="16:29" x14ac:dyDescent="0.25">
      <c r="T60"/>
    </row>
    <row r="62" spans="16:29" x14ac:dyDescent="0.25">
      <c r="T62"/>
    </row>
    <row r="63" spans="16:29" x14ac:dyDescent="0.25">
      <c r="T63"/>
    </row>
    <row r="65" spans="20:20" x14ac:dyDescent="0.25">
      <c r="T65"/>
    </row>
  </sheetData>
  <mergeCells count="28">
    <mergeCell ref="AG2:AH2"/>
    <mergeCell ref="AG18:AH18"/>
    <mergeCell ref="AC2:AE2"/>
    <mergeCell ref="AC18:AE18"/>
    <mergeCell ref="AF4:AF5"/>
    <mergeCell ref="AF22:AF23"/>
    <mergeCell ref="AF7:AF8"/>
    <mergeCell ref="A2:A3"/>
    <mergeCell ref="A18:A19"/>
    <mergeCell ref="Q2:S2"/>
    <mergeCell ref="Q18:S18"/>
    <mergeCell ref="W2:Y2"/>
    <mergeCell ref="W18:Y18"/>
    <mergeCell ref="Z2:AB2"/>
    <mergeCell ref="B18:D18"/>
    <mergeCell ref="H18:J18"/>
    <mergeCell ref="N18:P18"/>
    <mergeCell ref="T18:V18"/>
    <mergeCell ref="Z18:AB18"/>
    <mergeCell ref="B2:D2"/>
    <mergeCell ref="H2:J2"/>
    <mergeCell ref="AC37:AE37"/>
    <mergeCell ref="N2:P2"/>
    <mergeCell ref="T2:V2"/>
    <mergeCell ref="E2:G2"/>
    <mergeCell ref="K2:M2"/>
    <mergeCell ref="K18:M18"/>
    <mergeCell ref="E18:G18"/>
  </mergeCells>
  <pageMargins left="0.19685039370078741" right="0.19685039370078741" top="0.74803149606299213" bottom="0.74803149606299213" header="0.31496062992125984" footer="0.31496062992125984"/>
  <pageSetup paperSize="9" scale="51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обоснования СПб</vt:lpstr>
      <vt:lpstr>обоснования ЛО</vt:lpstr>
      <vt:lpstr>свод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автор</dc:creator>
  <cp:lastModifiedBy>Воронин Андрей Николаевич</cp:lastModifiedBy>
  <cp:lastPrinted>2021-04-06T12:18:43Z</cp:lastPrinted>
  <dcterms:created xsi:type="dcterms:W3CDTF">2021-03-16T14:50:39Z</dcterms:created>
  <dcterms:modified xsi:type="dcterms:W3CDTF">2024-04-12T15:36:11Z</dcterms:modified>
</cp:coreProperties>
</file>