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J_20-1-08-1-03-04-2-0301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10" r:id="rId3"/>
    <sheet name="Source" sheetId="6" r:id="rId4"/>
    <sheet name="SourceObSm" sheetId="7" r:id="rId5"/>
    <sheet name="SmtRes" sheetId="8" r:id="rId6"/>
    <sheet name="EtalonRes" sheetId="9" r:id="rId7"/>
  </sheets>
  <externalReferences>
    <externalReference r:id="rId8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Titles" localSheetId="1">СМР!$32:$32</definedName>
    <definedName name="_xlnm.Print_Area" localSheetId="2">ПИР!$A$1:$U$133</definedName>
    <definedName name="_xlnm.Print_Area" localSheetId="1">СМР!$A$1:$L$121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4" l="1"/>
  <c r="C19" i="4" s="1"/>
  <c r="L34" i="10"/>
  <c r="O34" i="10"/>
  <c r="D39" i="10"/>
  <c r="G39" i="10"/>
  <c r="W39" i="10" s="1"/>
  <c r="K39" i="10"/>
  <c r="N39" i="10"/>
  <c r="Q39" i="10"/>
  <c r="T39" i="10"/>
  <c r="D41" i="10"/>
  <c r="G41" i="10"/>
  <c r="K41" i="10"/>
  <c r="N41" i="10"/>
  <c r="L45" i="10" s="1"/>
  <c r="P45" i="10" s="1"/>
  <c r="L51" i="10"/>
  <c r="N51" i="10" s="1"/>
  <c r="J73" i="10"/>
  <c r="M73" i="10"/>
  <c r="J74" i="10"/>
  <c r="M74" i="10"/>
  <c r="J75" i="10"/>
  <c r="M75" i="10"/>
  <c r="J76" i="10"/>
  <c r="J77" i="10"/>
  <c r="M77" i="10"/>
  <c r="J78" i="10"/>
  <c r="I87" i="10"/>
  <c r="C20" i="4" l="1"/>
  <c r="C21" i="4"/>
  <c r="E73" i="10"/>
  <c r="E74" i="10"/>
  <c r="E75" i="10"/>
  <c r="E76" i="10"/>
  <c r="E77" i="10"/>
  <c r="E78" i="10"/>
  <c r="Q75" i="10"/>
  <c r="Q73" i="10"/>
  <c r="M76" i="10"/>
  <c r="M78" i="10"/>
  <c r="Q78" i="10" s="1"/>
  <c r="Q77" i="10"/>
  <c r="Q74" i="10"/>
  <c r="A1" i="9"/>
  <c r="A2" i="9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1" i="8"/>
  <c r="CX1" i="8"/>
  <c r="CY1" i="8"/>
  <c r="CZ1" i="8"/>
  <c r="DA1" i="8"/>
  <c r="DB1" i="8"/>
  <c r="DC1" i="8"/>
  <c r="A2" i="8"/>
  <c r="CX2" i="8"/>
  <c r="CY2" i="8"/>
  <c r="CZ2" i="8"/>
  <c r="DB2" i="8" s="1"/>
  <c r="DA2" i="8"/>
  <c r="DC2" i="8"/>
  <c r="A3" i="8"/>
  <c r="CX3" i="8"/>
  <c r="CY3" i="8"/>
  <c r="CZ3" i="8"/>
  <c r="DB3" i="8" s="1"/>
  <c r="DA3" i="8"/>
  <c r="DC3" i="8"/>
  <c r="A4" i="8"/>
  <c r="CX4" i="8"/>
  <c r="CY4" i="8"/>
  <c r="CZ4" i="8"/>
  <c r="DA4" i="8"/>
  <c r="DB4" i="8"/>
  <c r="DC4" i="8"/>
  <c r="A5" i="8"/>
  <c r="CX5" i="8"/>
  <c r="CY5" i="8"/>
  <c r="CZ5" i="8"/>
  <c r="DA5" i="8"/>
  <c r="DB5" i="8"/>
  <c r="DC5" i="8"/>
  <c r="A6" i="8"/>
  <c r="CX6" i="8"/>
  <c r="CY6" i="8"/>
  <c r="CZ6" i="8"/>
  <c r="DB6" i="8" s="1"/>
  <c r="DA6" i="8"/>
  <c r="DC6" i="8"/>
  <c r="A7" i="8"/>
  <c r="CX7" i="8"/>
  <c r="CY7" i="8"/>
  <c r="CZ7" i="8"/>
  <c r="DB7" i="8" s="1"/>
  <c r="DA7" i="8"/>
  <c r="DC7" i="8"/>
  <c r="A8" i="8"/>
  <c r="CX8" i="8"/>
  <c r="CY8" i="8"/>
  <c r="CZ8" i="8"/>
  <c r="DA8" i="8"/>
  <c r="DB8" i="8"/>
  <c r="DC8" i="8"/>
  <c r="A9" i="8"/>
  <c r="CX9" i="8"/>
  <c r="CY9" i="8"/>
  <c r="CZ9" i="8"/>
  <c r="DA9" i="8"/>
  <c r="DB9" i="8"/>
  <c r="DC9" i="8"/>
  <c r="A10" i="8"/>
  <c r="CX10" i="8"/>
  <c r="CY10" i="8"/>
  <c r="CZ10" i="8"/>
  <c r="DB10" i="8" s="1"/>
  <c r="DA10" i="8"/>
  <c r="DC10" i="8"/>
  <c r="A11" i="8"/>
  <c r="CX11" i="8"/>
  <c r="CY11" i="8"/>
  <c r="CZ11" i="8"/>
  <c r="DB11" i="8" s="1"/>
  <c r="DA11" i="8"/>
  <c r="DC11" i="8"/>
  <c r="A12" i="8"/>
  <c r="CX12" i="8"/>
  <c r="CY12" i="8"/>
  <c r="CZ12" i="8"/>
  <c r="DA12" i="8"/>
  <c r="DB12" i="8"/>
  <c r="DC12" i="8"/>
  <c r="A13" i="8"/>
  <c r="CX13" i="8"/>
  <c r="CY13" i="8"/>
  <c r="CZ13" i="8"/>
  <c r="DA13" i="8"/>
  <c r="DB13" i="8"/>
  <c r="DC13" i="8"/>
  <c r="A14" i="8"/>
  <c r="CX14" i="8"/>
  <c r="CY14" i="8"/>
  <c r="CZ14" i="8"/>
  <c r="DB14" i="8" s="1"/>
  <c r="DA14" i="8"/>
  <c r="DC14" i="8"/>
  <c r="A15" i="8"/>
  <c r="CX15" i="8"/>
  <c r="CY15" i="8"/>
  <c r="CZ15" i="8"/>
  <c r="DB15" i="8" s="1"/>
  <c r="DA15" i="8"/>
  <c r="DC15" i="8"/>
  <c r="A16" i="8"/>
  <c r="CX16" i="8"/>
  <c r="CY16" i="8"/>
  <c r="CZ16" i="8"/>
  <c r="DA16" i="8"/>
  <c r="DB16" i="8"/>
  <c r="DC16" i="8"/>
  <c r="A17" i="8"/>
  <c r="CX17" i="8"/>
  <c r="CY17" i="8"/>
  <c r="CZ17" i="8"/>
  <c r="DA17" i="8"/>
  <c r="DB17" i="8"/>
  <c r="DC17" i="8"/>
  <c r="A18" i="8"/>
  <c r="CX18" i="8"/>
  <c r="CY18" i="8"/>
  <c r="CZ18" i="8"/>
  <c r="DB18" i="8" s="1"/>
  <c r="DA18" i="8"/>
  <c r="DC18" i="8"/>
  <c r="A19" i="8"/>
  <c r="CX19" i="8"/>
  <c r="CY19" i="8"/>
  <c r="CZ19" i="8"/>
  <c r="DB19" i="8" s="1"/>
  <c r="DA19" i="8"/>
  <c r="DC19" i="8"/>
  <c r="A20" i="8"/>
  <c r="CX20" i="8"/>
  <c r="CY20" i="8"/>
  <c r="CZ20" i="8"/>
  <c r="DA20" i="8"/>
  <c r="DB20" i="8"/>
  <c r="DC20" i="8"/>
  <c r="A21" i="8"/>
  <c r="CX21" i="8"/>
  <c r="CY21" i="8"/>
  <c r="CZ21" i="8"/>
  <c r="DA21" i="8"/>
  <c r="DB21" i="8"/>
  <c r="DC21" i="8"/>
  <c r="A22" i="8"/>
  <c r="CX22" i="8"/>
  <c r="CY22" i="8"/>
  <c r="CZ22" i="8"/>
  <c r="DB22" i="8" s="1"/>
  <c r="DA22" i="8"/>
  <c r="DC22" i="8"/>
  <c r="A23" i="8"/>
  <c r="CX23" i="8"/>
  <c r="CY23" i="8"/>
  <c r="CZ23" i="8"/>
  <c r="DB23" i="8" s="1"/>
  <c r="DA23" i="8"/>
  <c r="DC23" i="8"/>
  <c r="A24" i="8"/>
  <c r="CY24" i="8"/>
  <c r="CZ24" i="8"/>
  <c r="DA24" i="8"/>
  <c r="DB24" i="8"/>
  <c r="DC24" i="8"/>
  <c r="A25" i="8"/>
  <c r="CY25" i="8"/>
  <c r="CZ25" i="8"/>
  <c r="DA25" i="8"/>
  <c r="DB25" i="8"/>
  <c r="DC25" i="8"/>
  <c r="A26" i="8"/>
  <c r="CY26" i="8"/>
  <c r="CZ26" i="8"/>
  <c r="DB26" i="8" s="1"/>
  <c r="DA26" i="8"/>
  <c r="DC26" i="8"/>
  <c r="A27" i="8"/>
  <c r="CY27" i="8"/>
  <c r="CZ27" i="8"/>
  <c r="DB27" i="8" s="1"/>
  <c r="DA27" i="8"/>
  <c r="DC27" i="8"/>
  <c r="A28" i="8"/>
  <c r="CY28" i="8"/>
  <c r="CZ28" i="8"/>
  <c r="DA28" i="8"/>
  <c r="DB28" i="8"/>
  <c r="DC28" i="8"/>
  <c r="A29" i="8"/>
  <c r="CY29" i="8"/>
  <c r="CZ29" i="8"/>
  <c r="DA29" i="8"/>
  <c r="DB29" i="8"/>
  <c r="DC29" i="8"/>
  <c r="A30" i="8"/>
  <c r="CY30" i="8"/>
  <c r="CZ30" i="8"/>
  <c r="DB30" i="8" s="1"/>
  <c r="DA30" i="8"/>
  <c r="DC30" i="8"/>
  <c r="A31" i="8"/>
  <c r="CY31" i="8"/>
  <c r="CZ31" i="8"/>
  <c r="DB31" i="8" s="1"/>
  <c r="DA31" i="8"/>
  <c r="DC31" i="8"/>
  <c r="A32" i="8"/>
  <c r="CY32" i="8"/>
  <c r="CZ32" i="8"/>
  <c r="DA32" i="8"/>
  <c r="DB32" i="8"/>
  <c r="DC32" i="8"/>
  <c r="A33" i="8"/>
  <c r="CY33" i="8"/>
  <c r="CZ33" i="8"/>
  <c r="DA33" i="8"/>
  <c r="DB33" i="8"/>
  <c r="DC33" i="8"/>
  <c r="A34" i="8"/>
  <c r="CY34" i="8"/>
  <c r="CZ34" i="8"/>
  <c r="DB34" i="8" s="1"/>
  <c r="DA34" i="8"/>
  <c r="DC34" i="8"/>
  <c r="A35" i="8"/>
  <c r="CY35" i="8"/>
  <c r="CZ35" i="8"/>
  <c r="DB35" i="8" s="1"/>
  <c r="DA35" i="8"/>
  <c r="DC35" i="8"/>
  <c r="A36" i="8"/>
  <c r="CY36" i="8"/>
  <c r="CZ36" i="8"/>
  <c r="DA36" i="8"/>
  <c r="DB36" i="8"/>
  <c r="DC36" i="8"/>
  <c r="A37" i="8"/>
  <c r="CY37" i="8"/>
  <c r="CZ37" i="8"/>
  <c r="DA37" i="8"/>
  <c r="DB37" i="8"/>
  <c r="DC37" i="8"/>
  <c r="A38" i="8"/>
  <c r="CY38" i="8"/>
  <c r="CZ38" i="8"/>
  <c r="DB38" i="8" s="1"/>
  <c r="DA38" i="8"/>
  <c r="DC38" i="8"/>
  <c r="A39" i="8"/>
  <c r="CY39" i="8"/>
  <c r="CZ39" i="8"/>
  <c r="DB39" i="8" s="1"/>
  <c r="DA39" i="8"/>
  <c r="DC39" i="8"/>
  <c r="A40" i="8"/>
  <c r="CY40" i="8"/>
  <c r="CZ40" i="8"/>
  <c r="DA40" i="8"/>
  <c r="DB40" i="8"/>
  <c r="DC40" i="8"/>
  <c r="A41" i="8"/>
  <c r="CY41" i="8"/>
  <c r="CZ41" i="8"/>
  <c r="DA41" i="8"/>
  <c r="DB41" i="8"/>
  <c r="DC41" i="8"/>
  <c r="A42" i="8"/>
  <c r="CY42" i="8"/>
  <c r="CZ42" i="8"/>
  <c r="DB42" i="8" s="1"/>
  <c r="DA42" i="8"/>
  <c r="DC42" i="8"/>
  <c r="A43" i="8"/>
  <c r="CY43" i="8"/>
  <c r="CZ43" i="8"/>
  <c r="DB43" i="8" s="1"/>
  <c r="DA43" i="8"/>
  <c r="DC43" i="8"/>
  <c r="A44" i="8"/>
  <c r="CY44" i="8"/>
  <c r="CZ44" i="8"/>
  <c r="DA44" i="8"/>
  <c r="DB44" i="8"/>
  <c r="DC44" i="8"/>
  <c r="A45" i="8"/>
  <c r="CY45" i="8"/>
  <c r="CZ45" i="8"/>
  <c r="DA45" i="8"/>
  <c r="DB45" i="8"/>
  <c r="DC45" i="8"/>
  <c r="A46" i="8"/>
  <c r="CY46" i="8"/>
  <c r="CZ46" i="8"/>
  <c r="DB46" i="8" s="1"/>
  <c r="DA46" i="8"/>
  <c r="DC46" i="8"/>
  <c r="A47" i="8"/>
  <c r="CY47" i="8"/>
  <c r="CZ47" i="8"/>
  <c r="DB47" i="8" s="1"/>
  <c r="DA47" i="8"/>
  <c r="DC47" i="8"/>
  <c r="A48" i="8"/>
  <c r="CY48" i="8"/>
  <c r="CZ48" i="8"/>
  <c r="DA48" i="8"/>
  <c r="DB48" i="8"/>
  <c r="DC48" i="8"/>
  <c r="A49" i="8"/>
  <c r="CY49" i="8"/>
  <c r="CZ49" i="8"/>
  <c r="DA49" i="8"/>
  <c r="DB49" i="8"/>
  <c r="DC49" i="8"/>
  <c r="A50" i="8"/>
  <c r="CY50" i="8"/>
  <c r="CZ50" i="8"/>
  <c r="DB50" i="8" s="1"/>
  <c r="DA50" i="8"/>
  <c r="DC50" i="8"/>
  <c r="A51" i="8"/>
  <c r="CY51" i="8"/>
  <c r="CZ51" i="8"/>
  <c r="DB51" i="8" s="1"/>
  <c r="DA51" i="8"/>
  <c r="DC51" i="8"/>
  <c r="D12" i="6"/>
  <c r="E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BE18" i="6"/>
  <c r="BF18" i="6"/>
  <c r="BG18" i="6"/>
  <c r="BH18" i="6"/>
  <c r="BI18" i="6"/>
  <c r="BJ18" i="6"/>
  <c r="BK18" i="6"/>
  <c r="BL18" i="6"/>
  <c r="BM18" i="6"/>
  <c r="BN18" i="6"/>
  <c r="BO18" i="6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H18" i="6"/>
  <c r="CI18" i="6"/>
  <c r="CJ18" i="6"/>
  <c r="CK18" i="6"/>
  <c r="CL18" i="6"/>
  <c r="CM18" i="6"/>
  <c r="CN18" i="6"/>
  <c r="CO18" i="6"/>
  <c r="CP18" i="6"/>
  <c r="CQ18" i="6"/>
  <c r="CR18" i="6"/>
  <c r="CS18" i="6"/>
  <c r="CT18" i="6"/>
  <c r="CU18" i="6"/>
  <c r="CV18" i="6"/>
  <c r="CW18" i="6"/>
  <c r="CX18" i="6"/>
  <c r="CY18" i="6"/>
  <c r="CZ18" i="6"/>
  <c r="DA18" i="6"/>
  <c r="DB18" i="6"/>
  <c r="DC18" i="6"/>
  <c r="DD18" i="6"/>
  <c r="DE18" i="6"/>
  <c r="DF18" i="6"/>
  <c r="DG18" i="6"/>
  <c r="DH18" i="6"/>
  <c r="DI18" i="6"/>
  <c r="DJ18" i="6"/>
  <c r="DK18" i="6"/>
  <c r="DL18" i="6"/>
  <c r="DM18" i="6"/>
  <c r="DN18" i="6"/>
  <c r="DO18" i="6"/>
  <c r="DP18" i="6"/>
  <c r="DQ18" i="6"/>
  <c r="DR18" i="6"/>
  <c r="DS18" i="6"/>
  <c r="DT18" i="6"/>
  <c r="DU18" i="6"/>
  <c r="DV18" i="6"/>
  <c r="DW18" i="6"/>
  <c r="DX18" i="6"/>
  <c r="DY18" i="6"/>
  <c r="DZ18" i="6"/>
  <c r="EA18" i="6"/>
  <c r="EB18" i="6"/>
  <c r="EC18" i="6"/>
  <c r="ED18" i="6"/>
  <c r="EE18" i="6"/>
  <c r="EF18" i="6"/>
  <c r="EG18" i="6"/>
  <c r="EH18" i="6"/>
  <c r="EI18" i="6"/>
  <c r="EJ18" i="6"/>
  <c r="EK18" i="6"/>
  <c r="EL18" i="6"/>
  <c r="EM18" i="6"/>
  <c r="EN18" i="6"/>
  <c r="EO18" i="6"/>
  <c r="EP18" i="6"/>
  <c r="EQ18" i="6"/>
  <c r="ER18" i="6"/>
  <c r="ES18" i="6"/>
  <c r="ET18" i="6"/>
  <c r="EU18" i="6"/>
  <c r="EV18" i="6"/>
  <c r="EW18" i="6"/>
  <c r="EX18" i="6"/>
  <c r="EY18" i="6"/>
  <c r="EZ18" i="6"/>
  <c r="FA18" i="6"/>
  <c r="FB18" i="6"/>
  <c r="FC18" i="6"/>
  <c r="FD18" i="6"/>
  <c r="FE18" i="6"/>
  <c r="FF18" i="6"/>
  <c r="FG18" i="6"/>
  <c r="FH18" i="6"/>
  <c r="FI18" i="6"/>
  <c r="FJ18" i="6"/>
  <c r="FK18" i="6"/>
  <c r="FL18" i="6"/>
  <c r="FM18" i="6"/>
  <c r="FN18" i="6"/>
  <c r="FO18" i="6"/>
  <c r="FP18" i="6"/>
  <c r="FQ18" i="6"/>
  <c r="FR18" i="6"/>
  <c r="FS18" i="6"/>
  <c r="FT18" i="6"/>
  <c r="FU18" i="6"/>
  <c r="FV18" i="6"/>
  <c r="FW18" i="6"/>
  <c r="FX18" i="6"/>
  <c r="FY18" i="6"/>
  <c r="FZ18" i="6"/>
  <c r="GA18" i="6"/>
  <c r="GB18" i="6"/>
  <c r="GC18" i="6"/>
  <c r="GD18" i="6"/>
  <c r="GE18" i="6"/>
  <c r="GF18" i="6"/>
  <c r="GG18" i="6"/>
  <c r="GH18" i="6"/>
  <c r="GI18" i="6"/>
  <c r="GJ18" i="6"/>
  <c r="GK18" i="6"/>
  <c r="GL18" i="6"/>
  <c r="GM18" i="6"/>
  <c r="GN18" i="6"/>
  <c r="GO18" i="6"/>
  <c r="GP18" i="6"/>
  <c r="GQ18" i="6"/>
  <c r="GR18" i="6"/>
  <c r="GS18" i="6"/>
  <c r="GT18" i="6"/>
  <c r="GU18" i="6"/>
  <c r="GV18" i="6"/>
  <c r="GW18" i="6"/>
  <c r="GX18" i="6"/>
  <c r="D20" i="6"/>
  <c r="E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BE22" i="6"/>
  <c r="BF22" i="6"/>
  <c r="BG22" i="6"/>
  <c r="BH22" i="6"/>
  <c r="BI22" i="6"/>
  <c r="BJ22" i="6"/>
  <c r="BK22" i="6"/>
  <c r="BL22" i="6"/>
  <c r="BM22" i="6"/>
  <c r="BN22" i="6"/>
  <c r="BO22" i="6"/>
  <c r="BP22" i="6"/>
  <c r="BQ22" i="6"/>
  <c r="BR22" i="6"/>
  <c r="BS22" i="6"/>
  <c r="BT22" i="6"/>
  <c r="BU22" i="6"/>
  <c r="BV22" i="6"/>
  <c r="BW22" i="6"/>
  <c r="BX22" i="6"/>
  <c r="BY22" i="6"/>
  <c r="BZ22" i="6"/>
  <c r="CA22" i="6"/>
  <c r="CB22" i="6"/>
  <c r="CC22" i="6"/>
  <c r="CD22" i="6"/>
  <c r="CE22" i="6"/>
  <c r="CF22" i="6"/>
  <c r="CG22" i="6"/>
  <c r="CH22" i="6"/>
  <c r="CI22" i="6"/>
  <c r="CJ22" i="6"/>
  <c r="CK22" i="6"/>
  <c r="CL22" i="6"/>
  <c r="CM22" i="6"/>
  <c r="CN22" i="6"/>
  <c r="CO22" i="6"/>
  <c r="CP22" i="6"/>
  <c r="CQ22" i="6"/>
  <c r="CR22" i="6"/>
  <c r="CS22" i="6"/>
  <c r="CT22" i="6"/>
  <c r="CU22" i="6"/>
  <c r="CV22" i="6"/>
  <c r="CW22" i="6"/>
  <c r="CX22" i="6"/>
  <c r="CY22" i="6"/>
  <c r="CZ22" i="6"/>
  <c r="DA22" i="6"/>
  <c r="DB22" i="6"/>
  <c r="DC22" i="6"/>
  <c r="DD22" i="6"/>
  <c r="DE22" i="6"/>
  <c r="DF22" i="6"/>
  <c r="DG22" i="6"/>
  <c r="DH22" i="6"/>
  <c r="DI22" i="6"/>
  <c r="DJ22" i="6"/>
  <c r="DK22" i="6"/>
  <c r="DL22" i="6"/>
  <c r="DM22" i="6"/>
  <c r="DN22" i="6"/>
  <c r="DO22" i="6"/>
  <c r="DP22" i="6"/>
  <c r="DQ22" i="6"/>
  <c r="DR22" i="6"/>
  <c r="DS22" i="6"/>
  <c r="DT22" i="6"/>
  <c r="DU22" i="6"/>
  <c r="DV22" i="6"/>
  <c r="DW22" i="6"/>
  <c r="DX22" i="6"/>
  <c r="DY22" i="6"/>
  <c r="DZ22" i="6"/>
  <c r="EA22" i="6"/>
  <c r="EB22" i="6"/>
  <c r="EC22" i="6"/>
  <c r="ED22" i="6"/>
  <c r="EE22" i="6"/>
  <c r="EF22" i="6"/>
  <c r="EG22" i="6"/>
  <c r="EH22" i="6"/>
  <c r="EI22" i="6"/>
  <c r="EJ22" i="6"/>
  <c r="EK22" i="6"/>
  <c r="EL22" i="6"/>
  <c r="EM22" i="6"/>
  <c r="EN22" i="6"/>
  <c r="EO22" i="6"/>
  <c r="EP22" i="6"/>
  <c r="EQ22" i="6"/>
  <c r="ER22" i="6"/>
  <c r="ES22" i="6"/>
  <c r="ET22" i="6"/>
  <c r="EU22" i="6"/>
  <c r="EV22" i="6"/>
  <c r="EW22" i="6"/>
  <c r="EX22" i="6"/>
  <c r="EY22" i="6"/>
  <c r="EZ22" i="6"/>
  <c r="FA22" i="6"/>
  <c r="FB22" i="6"/>
  <c r="FC22" i="6"/>
  <c r="FD22" i="6"/>
  <c r="FE22" i="6"/>
  <c r="FF22" i="6"/>
  <c r="FG22" i="6"/>
  <c r="FH22" i="6"/>
  <c r="FI22" i="6"/>
  <c r="FJ22" i="6"/>
  <c r="FK22" i="6"/>
  <c r="FL22" i="6"/>
  <c r="FM22" i="6"/>
  <c r="FN22" i="6"/>
  <c r="FO22" i="6"/>
  <c r="FP22" i="6"/>
  <c r="FQ22" i="6"/>
  <c r="FR22" i="6"/>
  <c r="FS22" i="6"/>
  <c r="FT22" i="6"/>
  <c r="FU22" i="6"/>
  <c r="FV22" i="6"/>
  <c r="FW22" i="6"/>
  <c r="FX22" i="6"/>
  <c r="FY22" i="6"/>
  <c r="FZ22" i="6"/>
  <c r="GA22" i="6"/>
  <c r="GB22" i="6"/>
  <c r="GC22" i="6"/>
  <c r="GD22" i="6"/>
  <c r="GE22" i="6"/>
  <c r="GF22" i="6"/>
  <c r="GG22" i="6"/>
  <c r="GH22" i="6"/>
  <c r="GI22" i="6"/>
  <c r="GJ22" i="6"/>
  <c r="GK22" i="6"/>
  <c r="GL22" i="6"/>
  <c r="GM22" i="6"/>
  <c r="GN22" i="6"/>
  <c r="GO22" i="6"/>
  <c r="GP22" i="6"/>
  <c r="GQ22" i="6"/>
  <c r="GR22" i="6"/>
  <c r="GS22" i="6"/>
  <c r="GT22" i="6"/>
  <c r="GU22" i="6"/>
  <c r="GV22" i="6"/>
  <c r="GW22" i="6"/>
  <c r="GX22" i="6"/>
  <c r="D24" i="6"/>
  <c r="E26" i="6"/>
  <c r="Z26" i="6"/>
  <c r="AA26" i="6"/>
  <c r="AM26" i="6"/>
  <c r="AN26" i="6"/>
  <c r="BE26" i="6"/>
  <c r="BF26" i="6"/>
  <c r="BG26" i="6"/>
  <c r="BH26" i="6"/>
  <c r="BI26" i="6"/>
  <c r="BJ26" i="6"/>
  <c r="BK26" i="6"/>
  <c r="BL26" i="6"/>
  <c r="BM26" i="6"/>
  <c r="BN26" i="6"/>
  <c r="BO26" i="6"/>
  <c r="BP26" i="6"/>
  <c r="BQ26" i="6"/>
  <c r="BR26" i="6"/>
  <c r="BS26" i="6"/>
  <c r="BT26" i="6"/>
  <c r="BU26" i="6"/>
  <c r="BV26" i="6"/>
  <c r="BW26" i="6"/>
  <c r="CN26" i="6"/>
  <c r="CO26" i="6"/>
  <c r="CP26" i="6"/>
  <c r="CQ26" i="6"/>
  <c r="CR26" i="6"/>
  <c r="CS26" i="6"/>
  <c r="CT26" i="6"/>
  <c r="CU26" i="6"/>
  <c r="CV26" i="6"/>
  <c r="CW26" i="6"/>
  <c r="CX26" i="6"/>
  <c r="CY26" i="6"/>
  <c r="CZ26" i="6"/>
  <c r="DA26" i="6"/>
  <c r="DB26" i="6"/>
  <c r="DC26" i="6"/>
  <c r="DD26" i="6"/>
  <c r="DE26" i="6"/>
  <c r="DF26" i="6"/>
  <c r="DG26" i="6"/>
  <c r="DH26" i="6"/>
  <c r="DI26" i="6"/>
  <c r="DJ26" i="6"/>
  <c r="DK26" i="6"/>
  <c r="DL26" i="6"/>
  <c r="DM26" i="6"/>
  <c r="DN26" i="6"/>
  <c r="DO26" i="6"/>
  <c r="DP26" i="6"/>
  <c r="DQ26" i="6"/>
  <c r="DR26" i="6"/>
  <c r="DS26" i="6"/>
  <c r="DT26" i="6"/>
  <c r="DU26" i="6"/>
  <c r="DV26" i="6"/>
  <c r="DW26" i="6"/>
  <c r="DX26" i="6"/>
  <c r="DY26" i="6"/>
  <c r="DZ26" i="6"/>
  <c r="EA26" i="6"/>
  <c r="EB26" i="6"/>
  <c r="EC26" i="6"/>
  <c r="ED26" i="6"/>
  <c r="EE26" i="6"/>
  <c r="EF26" i="6"/>
  <c r="EG26" i="6"/>
  <c r="EH26" i="6"/>
  <c r="EI26" i="6"/>
  <c r="EJ26" i="6"/>
  <c r="EK26" i="6"/>
  <c r="EL26" i="6"/>
  <c r="EM26" i="6"/>
  <c r="EN26" i="6"/>
  <c r="EO26" i="6"/>
  <c r="EP26" i="6"/>
  <c r="EQ26" i="6"/>
  <c r="ER26" i="6"/>
  <c r="ES26" i="6"/>
  <c r="ET26" i="6"/>
  <c r="EU26" i="6"/>
  <c r="EV26" i="6"/>
  <c r="EW26" i="6"/>
  <c r="EX26" i="6"/>
  <c r="EY26" i="6"/>
  <c r="EZ26" i="6"/>
  <c r="FA26" i="6"/>
  <c r="FB26" i="6"/>
  <c r="FC26" i="6"/>
  <c r="FD26" i="6"/>
  <c r="FE26" i="6"/>
  <c r="FF26" i="6"/>
  <c r="FG26" i="6"/>
  <c r="FH26" i="6"/>
  <c r="FI26" i="6"/>
  <c r="FJ26" i="6"/>
  <c r="FK26" i="6"/>
  <c r="FL26" i="6"/>
  <c r="FM26" i="6"/>
  <c r="FN26" i="6"/>
  <c r="FO26" i="6"/>
  <c r="FP26" i="6"/>
  <c r="FQ26" i="6"/>
  <c r="FR26" i="6"/>
  <c r="FS26" i="6"/>
  <c r="FT26" i="6"/>
  <c r="FU26" i="6"/>
  <c r="FV26" i="6"/>
  <c r="FW26" i="6"/>
  <c r="FX26" i="6"/>
  <c r="FY26" i="6"/>
  <c r="FZ26" i="6"/>
  <c r="GA26" i="6"/>
  <c r="GB26" i="6"/>
  <c r="GC26" i="6"/>
  <c r="GD26" i="6"/>
  <c r="GE26" i="6"/>
  <c r="GF26" i="6"/>
  <c r="GG26" i="6"/>
  <c r="GH26" i="6"/>
  <c r="GI26" i="6"/>
  <c r="GJ26" i="6"/>
  <c r="GK26" i="6"/>
  <c r="GL26" i="6"/>
  <c r="GM26" i="6"/>
  <c r="GN26" i="6"/>
  <c r="GO26" i="6"/>
  <c r="GP26" i="6"/>
  <c r="GQ26" i="6"/>
  <c r="GR26" i="6"/>
  <c r="GS26" i="6"/>
  <c r="GT26" i="6"/>
  <c r="GU26" i="6"/>
  <c r="GV26" i="6"/>
  <c r="GW26" i="6"/>
  <c r="GX26" i="6"/>
  <c r="C28" i="6"/>
  <c r="D28" i="6"/>
  <c r="AC28" i="6"/>
  <c r="CQ28" i="6" s="1"/>
  <c r="P28" i="6" s="1"/>
  <c r="AE28" i="6"/>
  <c r="AD28" i="6" s="1"/>
  <c r="CR28" i="6" s="1"/>
  <c r="Q28" i="6" s="1"/>
  <c r="AF28" i="6"/>
  <c r="AG28" i="6"/>
  <c r="CU28" i="6" s="1"/>
  <c r="T28" i="6" s="1"/>
  <c r="AH28" i="6"/>
  <c r="AI28" i="6"/>
  <c r="CW28" i="6" s="1"/>
  <c r="V28" i="6" s="1"/>
  <c r="AJ28" i="6"/>
  <c r="CT28" i="6"/>
  <c r="S28" i="6" s="1"/>
  <c r="CV28" i="6"/>
  <c r="U28" i="6" s="1"/>
  <c r="CX28" i="6"/>
  <c r="W28" i="6" s="1"/>
  <c r="FR28" i="6"/>
  <c r="GL28" i="6"/>
  <c r="GN28" i="6"/>
  <c r="GP28" i="6"/>
  <c r="GV28" i="6"/>
  <c r="HC28" i="6"/>
  <c r="GX28" i="6" s="1"/>
  <c r="C29" i="6"/>
  <c r="D29" i="6"/>
  <c r="AC29" i="6"/>
  <c r="AE29" i="6"/>
  <c r="CS29" i="6" s="1"/>
  <c r="R29" i="6" s="1"/>
  <c r="AF29" i="6"/>
  <c r="AG29" i="6"/>
  <c r="CU29" i="6" s="1"/>
  <c r="T29" i="6" s="1"/>
  <c r="AH29" i="6"/>
  <c r="AI29" i="6"/>
  <c r="CW29" i="6" s="1"/>
  <c r="V29" i="6" s="1"/>
  <c r="AJ29" i="6"/>
  <c r="CT29" i="6"/>
  <c r="S29" i="6" s="1"/>
  <c r="CV29" i="6"/>
  <c r="U29" i="6" s="1"/>
  <c r="CX29" i="6"/>
  <c r="W29" i="6" s="1"/>
  <c r="FR29" i="6"/>
  <c r="GL29" i="6"/>
  <c r="GN29" i="6"/>
  <c r="GP29" i="6"/>
  <c r="GV29" i="6"/>
  <c r="GX29" i="6"/>
  <c r="HC29" i="6"/>
  <c r="C30" i="6"/>
  <c r="D30" i="6"/>
  <c r="I30" i="6"/>
  <c r="CX25" i="8" s="1"/>
  <c r="K30" i="6"/>
  <c r="AC30" i="6"/>
  <c r="AE30" i="6"/>
  <c r="CS30" i="6" s="1"/>
  <c r="R30" i="6" s="1"/>
  <c r="AF30" i="6"/>
  <c r="AG30" i="6"/>
  <c r="CU30" i="6" s="1"/>
  <c r="T30" i="6" s="1"/>
  <c r="AH30" i="6"/>
  <c r="AI30" i="6"/>
  <c r="CW30" i="6" s="1"/>
  <c r="V30" i="6" s="1"/>
  <c r="AJ30" i="6"/>
  <c r="CT30" i="6"/>
  <c r="S30" i="6" s="1"/>
  <c r="CV30" i="6"/>
  <c r="U30" i="6" s="1"/>
  <c r="CX30" i="6"/>
  <c r="W30" i="6" s="1"/>
  <c r="FR30" i="6"/>
  <c r="GL30" i="6"/>
  <c r="GN30" i="6"/>
  <c r="GP30" i="6"/>
  <c r="GV30" i="6"/>
  <c r="HC30" i="6"/>
  <c r="GX30" i="6" s="1"/>
  <c r="CJ33" i="6" s="1"/>
  <c r="C31" i="6"/>
  <c r="D31" i="6"/>
  <c r="I31" i="6"/>
  <c r="K31" i="6"/>
  <c r="AC31" i="6"/>
  <c r="CQ31" i="6" s="1"/>
  <c r="P31" i="6" s="1"/>
  <c r="AE31" i="6"/>
  <c r="AD31" i="6" s="1"/>
  <c r="AF31" i="6"/>
  <c r="AG31" i="6"/>
  <c r="CU31" i="6" s="1"/>
  <c r="T31" i="6" s="1"/>
  <c r="AH31" i="6"/>
  <c r="AI31" i="6"/>
  <c r="AJ31" i="6"/>
  <c r="CX31" i="6" s="1"/>
  <c r="W31" i="6" s="1"/>
  <c r="AJ33" i="6" s="1"/>
  <c r="CR31" i="6"/>
  <c r="Q31" i="6" s="1"/>
  <c r="CS31" i="6"/>
  <c r="R31" i="6" s="1"/>
  <c r="CT31" i="6"/>
  <c r="S31" i="6" s="1"/>
  <c r="CV31" i="6"/>
  <c r="U31" i="6" s="1"/>
  <c r="L71" i="5" s="1"/>
  <c r="CW31" i="6"/>
  <c r="V31" i="6" s="1"/>
  <c r="AI33" i="6" s="1"/>
  <c r="FR31" i="6"/>
  <c r="GL31" i="6"/>
  <c r="GN31" i="6"/>
  <c r="GP31" i="6"/>
  <c r="GV31" i="6"/>
  <c r="HC31" i="6"/>
  <c r="GX31" i="6" s="1"/>
  <c r="B33" i="6"/>
  <c r="B26" i="6" s="1"/>
  <c r="C33" i="6"/>
  <c r="C26" i="6" s="1"/>
  <c r="D33" i="6"/>
  <c r="D26" i="6" s="1"/>
  <c r="F33" i="6"/>
  <c r="F26" i="6" s="1"/>
  <c r="G33" i="6"/>
  <c r="G26" i="6" s="1"/>
  <c r="AG33" i="6"/>
  <c r="AG26" i="6" s="1"/>
  <c r="BX33" i="6"/>
  <c r="BX26" i="6" s="1"/>
  <c r="BY33" i="6"/>
  <c r="BY26" i="6" s="1"/>
  <c r="BZ33" i="6"/>
  <c r="AQ33" i="6" s="1"/>
  <c r="CB33" i="6"/>
  <c r="CB26" i="6" s="1"/>
  <c r="CD33" i="6"/>
  <c r="CK33" i="6"/>
  <c r="CK26" i="6" s="1"/>
  <c r="CL33" i="6"/>
  <c r="CL26" i="6" s="1"/>
  <c r="CM33" i="6"/>
  <c r="CM26" i="6" s="1"/>
  <c r="D63" i="6"/>
  <c r="D65" i="6"/>
  <c r="E65" i="6"/>
  <c r="Z65" i="6"/>
  <c r="AA65" i="6"/>
  <c r="AE65" i="6"/>
  <c r="AM65" i="6"/>
  <c r="AN65" i="6"/>
  <c r="BD65" i="6"/>
  <c r="BE65" i="6"/>
  <c r="BF65" i="6"/>
  <c r="BG65" i="6"/>
  <c r="BH65" i="6"/>
  <c r="BI65" i="6"/>
  <c r="BJ65" i="6"/>
  <c r="BK65" i="6"/>
  <c r="BL65" i="6"/>
  <c r="BM65" i="6"/>
  <c r="BN65" i="6"/>
  <c r="BO65" i="6"/>
  <c r="BP65" i="6"/>
  <c r="BQ65" i="6"/>
  <c r="BR65" i="6"/>
  <c r="BS65" i="6"/>
  <c r="BT65" i="6"/>
  <c r="BU65" i="6"/>
  <c r="BV65" i="6"/>
  <c r="BW65" i="6"/>
  <c r="CM65" i="6"/>
  <c r="CN65" i="6"/>
  <c r="CO65" i="6"/>
  <c r="CP65" i="6"/>
  <c r="CQ65" i="6"/>
  <c r="CR65" i="6"/>
  <c r="CS65" i="6"/>
  <c r="CT65" i="6"/>
  <c r="CU65" i="6"/>
  <c r="CV65" i="6"/>
  <c r="CW65" i="6"/>
  <c r="CX65" i="6"/>
  <c r="CY65" i="6"/>
  <c r="CZ65" i="6"/>
  <c r="DA65" i="6"/>
  <c r="DB65" i="6"/>
  <c r="DC65" i="6"/>
  <c r="DD65" i="6"/>
  <c r="DE65" i="6"/>
  <c r="DF65" i="6"/>
  <c r="DG65" i="6"/>
  <c r="DH65" i="6"/>
  <c r="DI65" i="6"/>
  <c r="DJ65" i="6"/>
  <c r="DK65" i="6"/>
  <c r="DL65" i="6"/>
  <c r="DM65" i="6"/>
  <c r="DN65" i="6"/>
  <c r="DO65" i="6"/>
  <c r="DP65" i="6"/>
  <c r="DQ65" i="6"/>
  <c r="DR65" i="6"/>
  <c r="DS65" i="6"/>
  <c r="DT65" i="6"/>
  <c r="DU65" i="6"/>
  <c r="DV65" i="6"/>
  <c r="DW65" i="6"/>
  <c r="DX65" i="6"/>
  <c r="DY65" i="6"/>
  <c r="DZ65" i="6"/>
  <c r="EA65" i="6"/>
  <c r="EB65" i="6"/>
  <c r="EC65" i="6"/>
  <c r="ED65" i="6"/>
  <c r="EE65" i="6"/>
  <c r="EF65" i="6"/>
  <c r="EG65" i="6"/>
  <c r="EH65" i="6"/>
  <c r="EI65" i="6"/>
  <c r="EJ65" i="6"/>
  <c r="EK65" i="6"/>
  <c r="EL65" i="6"/>
  <c r="EM65" i="6"/>
  <c r="EN65" i="6"/>
  <c r="EO65" i="6"/>
  <c r="EP65" i="6"/>
  <c r="EQ65" i="6"/>
  <c r="ER65" i="6"/>
  <c r="ES65" i="6"/>
  <c r="ET65" i="6"/>
  <c r="EU65" i="6"/>
  <c r="EV65" i="6"/>
  <c r="EW65" i="6"/>
  <c r="EX65" i="6"/>
  <c r="EY65" i="6"/>
  <c r="EZ65" i="6"/>
  <c r="FA65" i="6"/>
  <c r="FB65" i="6"/>
  <c r="FC65" i="6"/>
  <c r="FD65" i="6"/>
  <c r="FE65" i="6"/>
  <c r="FF65" i="6"/>
  <c r="FG65" i="6"/>
  <c r="FH65" i="6"/>
  <c r="FI65" i="6"/>
  <c r="FJ65" i="6"/>
  <c r="FK65" i="6"/>
  <c r="FL65" i="6"/>
  <c r="FM65" i="6"/>
  <c r="FN65" i="6"/>
  <c r="FO65" i="6"/>
  <c r="FP65" i="6"/>
  <c r="FQ65" i="6"/>
  <c r="FR65" i="6"/>
  <c r="FS65" i="6"/>
  <c r="FT65" i="6"/>
  <c r="FU65" i="6"/>
  <c r="FV65" i="6"/>
  <c r="FW65" i="6"/>
  <c r="FX65" i="6"/>
  <c r="FY65" i="6"/>
  <c r="FZ65" i="6"/>
  <c r="GA65" i="6"/>
  <c r="GB65" i="6"/>
  <c r="GC65" i="6"/>
  <c r="GD65" i="6"/>
  <c r="GE65" i="6"/>
  <c r="GF65" i="6"/>
  <c r="GG65" i="6"/>
  <c r="GH65" i="6"/>
  <c r="GI65" i="6"/>
  <c r="GJ65" i="6"/>
  <c r="GK65" i="6"/>
  <c r="GL65" i="6"/>
  <c r="GM65" i="6"/>
  <c r="GN65" i="6"/>
  <c r="GO65" i="6"/>
  <c r="GP65" i="6"/>
  <c r="GQ65" i="6"/>
  <c r="GR65" i="6"/>
  <c r="GS65" i="6"/>
  <c r="GT65" i="6"/>
  <c r="GU65" i="6"/>
  <c r="GV65" i="6"/>
  <c r="GW65" i="6"/>
  <c r="GX65" i="6"/>
  <c r="P67" i="6"/>
  <c r="W67" i="6"/>
  <c r="AC67" i="6"/>
  <c r="AB67" i="6" s="1"/>
  <c r="AD67" i="6"/>
  <c r="CR67" i="6" s="1"/>
  <c r="Q67" i="6" s="1"/>
  <c r="AD69" i="6" s="1"/>
  <c r="AD65" i="6" s="1"/>
  <c r="AE67" i="6"/>
  <c r="AF67" i="6"/>
  <c r="AG67" i="6"/>
  <c r="AH67" i="6"/>
  <c r="CV67" i="6" s="1"/>
  <c r="U67" i="6" s="1"/>
  <c r="AH69" i="6" s="1"/>
  <c r="AH65" i="6" s="1"/>
  <c r="AI67" i="6"/>
  <c r="AJ67" i="6"/>
  <c r="CQ67" i="6"/>
  <c r="CS67" i="6"/>
  <c r="R67" i="6" s="1"/>
  <c r="AE69" i="6" s="1"/>
  <c r="CT67" i="6"/>
  <c r="S67" i="6" s="1"/>
  <c r="AF69" i="6" s="1"/>
  <c r="CU67" i="6"/>
  <c r="T67" i="6" s="1"/>
  <c r="AG69" i="6" s="1"/>
  <c r="CW67" i="6"/>
  <c r="V67" i="6" s="1"/>
  <c r="CX67" i="6"/>
  <c r="CY67" i="6"/>
  <c r="X67" i="6" s="1"/>
  <c r="AK69" i="6" s="1"/>
  <c r="CZ67" i="6"/>
  <c r="Y67" i="6" s="1"/>
  <c r="AL69" i="6" s="1"/>
  <c r="AL65" i="6" s="1"/>
  <c r="GL67" i="6"/>
  <c r="BZ69" i="6" s="1"/>
  <c r="GN67" i="6"/>
  <c r="GO67" i="6"/>
  <c r="GP67" i="6"/>
  <c r="CD69" i="6" s="1"/>
  <c r="GV67" i="6"/>
  <c r="HC67" i="6" s="1"/>
  <c r="GX67" i="6" s="1"/>
  <c r="CJ69" i="6" s="1"/>
  <c r="HH67" i="6"/>
  <c r="B69" i="6"/>
  <c r="B65" i="6" s="1"/>
  <c r="C69" i="6"/>
  <c r="C65" i="6" s="1"/>
  <c r="D69" i="6"/>
  <c r="F69" i="6"/>
  <c r="F65" i="6" s="1"/>
  <c r="G69" i="6"/>
  <c r="G65" i="6" s="1"/>
  <c r="Q69" i="6"/>
  <c r="R69" i="6"/>
  <c r="U69" i="6"/>
  <c r="U65" i="6" s="1"/>
  <c r="V69" i="6"/>
  <c r="V65" i="6" s="1"/>
  <c r="Y69" i="6"/>
  <c r="Y65" i="6" s="1"/>
  <c r="AI69" i="6"/>
  <c r="AI65" i="6" s="1"/>
  <c r="AJ69" i="6"/>
  <c r="BX69" i="6"/>
  <c r="BX65" i="6" s="1"/>
  <c r="CB69" i="6"/>
  <c r="CB65" i="6" s="1"/>
  <c r="CC69" i="6"/>
  <c r="CC65" i="6" s="1"/>
  <c r="CK69" i="6"/>
  <c r="CK65" i="6" s="1"/>
  <c r="CL69" i="6"/>
  <c r="CL65" i="6" s="1"/>
  <c r="CM69" i="6"/>
  <c r="BD69" i="6" s="1"/>
  <c r="F94" i="6" s="1"/>
  <c r="F91" i="6"/>
  <c r="F92" i="6"/>
  <c r="F96" i="6"/>
  <c r="D99" i="6"/>
  <c r="E101" i="6"/>
  <c r="Z101" i="6"/>
  <c r="AA101" i="6"/>
  <c r="AM101" i="6"/>
  <c r="AN101" i="6"/>
  <c r="BE101" i="6"/>
  <c r="BF101" i="6"/>
  <c r="BG101" i="6"/>
  <c r="BH101" i="6"/>
  <c r="BI101" i="6"/>
  <c r="BJ101" i="6"/>
  <c r="BK101" i="6"/>
  <c r="BL101" i="6"/>
  <c r="BM101" i="6"/>
  <c r="BN101" i="6"/>
  <c r="BO101" i="6"/>
  <c r="BP101" i="6"/>
  <c r="BQ101" i="6"/>
  <c r="BR101" i="6"/>
  <c r="BS101" i="6"/>
  <c r="BT101" i="6"/>
  <c r="BU101" i="6"/>
  <c r="BV101" i="6"/>
  <c r="BW101" i="6"/>
  <c r="CL101" i="6"/>
  <c r="CN101" i="6"/>
  <c r="CO101" i="6"/>
  <c r="CP101" i="6"/>
  <c r="CQ101" i="6"/>
  <c r="CR101" i="6"/>
  <c r="CS101" i="6"/>
  <c r="CT101" i="6"/>
  <c r="CU101" i="6"/>
  <c r="CV101" i="6"/>
  <c r="CW101" i="6"/>
  <c r="CX101" i="6"/>
  <c r="CY101" i="6"/>
  <c r="CZ101" i="6"/>
  <c r="DA101" i="6"/>
  <c r="DB101" i="6"/>
  <c r="DC101" i="6"/>
  <c r="DD101" i="6"/>
  <c r="DE101" i="6"/>
  <c r="DF101" i="6"/>
  <c r="DG101" i="6"/>
  <c r="DH101" i="6"/>
  <c r="DI101" i="6"/>
  <c r="DJ101" i="6"/>
  <c r="DK101" i="6"/>
  <c r="DL101" i="6"/>
  <c r="DM101" i="6"/>
  <c r="DN101" i="6"/>
  <c r="DO101" i="6"/>
  <c r="DP101" i="6"/>
  <c r="DQ101" i="6"/>
  <c r="DR101" i="6"/>
  <c r="DS101" i="6"/>
  <c r="DT101" i="6"/>
  <c r="DU101" i="6"/>
  <c r="DV101" i="6"/>
  <c r="DW101" i="6"/>
  <c r="DX101" i="6"/>
  <c r="DY101" i="6"/>
  <c r="DZ101" i="6"/>
  <c r="EA101" i="6"/>
  <c r="EB101" i="6"/>
  <c r="EC101" i="6"/>
  <c r="ED101" i="6"/>
  <c r="EE101" i="6"/>
  <c r="EF101" i="6"/>
  <c r="EG101" i="6"/>
  <c r="EH101" i="6"/>
  <c r="EI101" i="6"/>
  <c r="EJ101" i="6"/>
  <c r="EK101" i="6"/>
  <c r="EL101" i="6"/>
  <c r="EM101" i="6"/>
  <c r="EN101" i="6"/>
  <c r="EO101" i="6"/>
  <c r="EP101" i="6"/>
  <c r="EQ101" i="6"/>
  <c r="ER101" i="6"/>
  <c r="ES101" i="6"/>
  <c r="ET101" i="6"/>
  <c r="EU101" i="6"/>
  <c r="EV101" i="6"/>
  <c r="EW101" i="6"/>
  <c r="EX101" i="6"/>
  <c r="EY101" i="6"/>
  <c r="EZ101" i="6"/>
  <c r="FA101" i="6"/>
  <c r="FB101" i="6"/>
  <c r="FC101" i="6"/>
  <c r="FD101" i="6"/>
  <c r="FE101" i="6"/>
  <c r="FF101" i="6"/>
  <c r="FG101" i="6"/>
  <c r="FH101" i="6"/>
  <c r="FI101" i="6"/>
  <c r="FJ101" i="6"/>
  <c r="FK101" i="6"/>
  <c r="FL101" i="6"/>
  <c r="FM101" i="6"/>
  <c r="FN101" i="6"/>
  <c r="FO101" i="6"/>
  <c r="FP101" i="6"/>
  <c r="FQ101" i="6"/>
  <c r="FR101" i="6"/>
  <c r="FS101" i="6"/>
  <c r="FT101" i="6"/>
  <c r="FU101" i="6"/>
  <c r="FV101" i="6"/>
  <c r="FW101" i="6"/>
  <c r="FX101" i="6"/>
  <c r="FY101" i="6"/>
  <c r="FZ101" i="6"/>
  <c r="GA101" i="6"/>
  <c r="GB101" i="6"/>
  <c r="GC101" i="6"/>
  <c r="GD101" i="6"/>
  <c r="GE101" i="6"/>
  <c r="GF101" i="6"/>
  <c r="GG101" i="6"/>
  <c r="GH101" i="6"/>
  <c r="GI101" i="6"/>
  <c r="GJ101" i="6"/>
  <c r="GK101" i="6"/>
  <c r="GL101" i="6"/>
  <c r="GM101" i="6"/>
  <c r="GN101" i="6"/>
  <c r="GO101" i="6"/>
  <c r="GP101" i="6"/>
  <c r="GQ101" i="6"/>
  <c r="GR101" i="6"/>
  <c r="GS101" i="6"/>
  <c r="GT101" i="6"/>
  <c r="GU101" i="6"/>
  <c r="GV101" i="6"/>
  <c r="GW101" i="6"/>
  <c r="GX101" i="6"/>
  <c r="C103" i="6"/>
  <c r="D103" i="6"/>
  <c r="I103" i="6"/>
  <c r="K103" i="6"/>
  <c r="Q103" i="6"/>
  <c r="R103" i="6"/>
  <c r="AC103" i="6"/>
  <c r="AE103" i="6"/>
  <c r="AD103" i="6" s="1"/>
  <c r="AF103" i="6"/>
  <c r="AG103" i="6"/>
  <c r="AH103" i="6"/>
  <c r="AI103" i="6"/>
  <c r="AJ103" i="6"/>
  <c r="CX103" i="6" s="1"/>
  <c r="W103" i="6" s="1"/>
  <c r="CQ103" i="6"/>
  <c r="P103" i="6" s="1"/>
  <c r="CR103" i="6"/>
  <c r="CS103" i="6"/>
  <c r="CU103" i="6"/>
  <c r="T103" i="6" s="1"/>
  <c r="CV103" i="6"/>
  <c r="U103" i="6" s="1"/>
  <c r="CW103" i="6"/>
  <c r="V103" i="6" s="1"/>
  <c r="AI107" i="6" s="1"/>
  <c r="FR103" i="6"/>
  <c r="GL103" i="6"/>
  <c r="GN103" i="6"/>
  <c r="GO103" i="6"/>
  <c r="GV103" i="6"/>
  <c r="GX103" i="6"/>
  <c r="HC103" i="6"/>
  <c r="C104" i="6"/>
  <c r="D104" i="6"/>
  <c r="I104" i="6"/>
  <c r="K104" i="6"/>
  <c r="AC104" i="6"/>
  <c r="CQ104" i="6" s="1"/>
  <c r="P104" i="6" s="1"/>
  <c r="AE104" i="6"/>
  <c r="AF104" i="6"/>
  <c r="CT104" i="6" s="1"/>
  <c r="S104" i="6" s="1"/>
  <c r="AG104" i="6"/>
  <c r="CU104" i="6" s="1"/>
  <c r="T104" i="6" s="1"/>
  <c r="AH104" i="6"/>
  <c r="AI104" i="6"/>
  <c r="CW104" i="6" s="1"/>
  <c r="V104" i="6" s="1"/>
  <c r="AJ104" i="6"/>
  <c r="CX104" i="6" s="1"/>
  <c r="W104" i="6" s="1"/>
  <c r="CV104" i="6"/>
  <c r="U104" i="6" s="1"/>
  <c r="FR104" i="6"/>
  <c r="GL104" i="6"/>
  <c r="GN104" i="6"/>
  <c r="GO104" i="6"/>
  <c r="GV104" i="6"/>
  <c r="GX104" i="6"/>
  <c r="HC104" i="6"/>
  <c r="C105" i="6"/>
  <c r="D105" i="6"/>
  <c r="I105" i="6"/>
  <c r="K105" i="6"/>
  <c r="U105" i="6"/>
  <c r="AC105" i="6"/>
  <c r="CQ105" i="6" s="1"/>
  <c r="P105" i="6" s="1"/>
  <c r="AE105" i="6"/>
  <c r="AD105" i="6" s="1"/>
  <c r="AB105" i="6" s="1"/>
  <c r="AF105" i="6"/>
  <c r="CT105" i="6" s="1"/>
  <c r="S105" i="6" s="1"/>
  <c r="AG105" i="6"/>
  <c r="CU105" i="6" s="1"/>
  <c r="AH105" i="6"/>
  <c r="AI105" i="6"/>
  <c r="AJ105" i="6"/>
  <c r="CX105" i="6" s="1"/>
  <c r="W105" i="6" s="1"/>
  <c r="CS105" i="6"/>
  <c r="R105" i="6" s="1"/>
  <c r="AE107" i="6" s="1"/>
  <c r="CV105" i="6"/>
  <c r="CW105" i="6"/>
  <c r="V105" i="6" s="1"/>
  <c r="FR105" i="6"/>
  <c r="GL105" i="6"/>
  <c r="GN105" i="6"/>
  <c r="GO105" i="6"/>
  <c r="CC107" i="6" s="1"/>
  <c r="GV105" i="6"/>
  <c r="HC105" i="6"/>
  <c r="GX105" i="6" s="1"/>
  <c r="CJ107" i="6" s="1"/>
  <c r="B107" i="6"/>
  <c r="B101" i="6" s="1"/>
  <c r="C107" i="6"/>
  <c r="C101" i="6" s="1"/>
  <c r="D107" i="6"/>
  <c r="D101" i="6" s="1"/>
  <c r="F107" i="6"/>
  <c r="F101" i="6" s="1"/>
  <c r="G107" i="6"/>
  <c r="G101" i="6" s="1"/>
  <c r="AH107" i="6"/>
  <c r="AH101" i="6" s="1"/>
  <c r="BD107" i="6"/>
  <c r="BD101" i="6" s="1"/>
  <c r="BX107" i="6"/>
  <c r="BZ107" i="6"/>
  <c r="BZ101" i="6" s="1"/>
  <c r="CB107" i="6"/>
  <c r="CB101" i="6" s="1"/>
  <c r="CK107" i="6"/>
  <c r="BB107" i="6" s="1"/>
  <c r="BB101" i="6" s="1"/>
  <c r="CL107" i="6"/>
  <c r="BC107" i="6" s="1"/>
  <c r="CM107" i="6"/>
  <c r="CM101" i="6" s="1"/>
  <c r="F120" i="6"/>
  <c r="B137" i="6"/>
  <c r="B22" i="6" s="1"/>
  <c r="C137" i="6"/>
  <c r="C22" i="6" s="1"/>
  <c r="D137" i="6"/>
  <c r="D22" i="6" s="1"/>
  <c r="F137" i="6"/>
  <c r="F22" i="6" s="1"/>
  <c r="G137" i="6"/>
  <c r="G22" i="6" s="1"/>
  <c r="B167" i="6"/>
  <c r="B18" i="6" s="1"/>
  <c r="C167" i="6"/>
  <c r="C18" i="6" s="1"/>
  <c r="D167" i="6"/>
  <c r="D18" i="6" s="1"/>
  <c r="F167" i="6"/>
  <c r="F18" i="6" s="1"/>
  <c r="G167" i="6"/>
  <c r="G18" i="6" s="1"/>
  <c r="A1" i="5"/>
  <c r="H5" i="5"/>
  <c r="B7" i="5"/>
  <c r="B11" i="5"/>
  <c r="A14" i="5"/>
  <c r="A34" i="5"/>
  <c r="A36" i="5"/>
  <c r="A37" i="5"/>
  <c r="B37" i="5"/>
  <c r="C37" i="5"/>
  <c r="D37" i="5"/>
  <c r="E37" i="5"/>
  <c r="F37" i="5"/>
  <c r="I37" i="5"/>
  <c r="S37" i="5"/>
  <c r="H42" i="5" s="1"/>
  <c r="X45" i="5" s="1"/>
  <c r="U37" i="5"/>
  <c r="F38" i="5"/>
  <c r="G38" i="5"/>
  <c r="H38" i="5"/>
  <c r="R38" i="5" s="1"/>
  <c r="J38" i="5"/>
  <c r="K38" i="5"/>
  <c r="F39" i="5"/>
  <c r="G39" i="5"/>
  <c r="H39" i="5"/>
  <c r="J39" i="5"/>
  <c r="K39" i="5"/>
  <c r="F40" i="5"/>
  <c r="G40" i="5"/>
  <c r="H40" i="5"/>
  <c r="J40" i="5"/>
  <c r="R40" i="5"/>
  <c r="F41" i="5"/>
  <c r="G41" i="5"/>
  <c r="H41" i="5"/>
  <c r="J41" i="5"/>
  <c r="K41" i="5"/>
  <c r="E42" i="5"/>
  <c r="J42" i="5"/>
  <c r="E43" i="5"/>
  <c r="H43" i="5"/>
  <c r="J43" i="5"/>
  <c r="E44" i="5"/>
  <c r="G44" i="5"/>
  <c r="L44" i="5"/>
  <c r="L45" i="5"/>
  <c r="Q45" i="5"/>
  <c r="W45" i="5"/>
  <c r="G19" i="5" s="1"/>
  <c r="Y45" i="5"/>
  <c r="G21" i="5" s="1"/>
  <c r="Z45" i="5"/>
  <c r="A46" i="5"/>
  <c r="B46" i="5"/>
  <c r="C46" i="5"/>
  <c r="D46" i="5"/>
  <c r="E46" i="5"/>
  <c r="F46" i="5"/>
  <c r="I46" i="5"/>
  <c r="S46" i="5"/>
  <c r="H51" i="5" s="1"/>
  <c r="U46" i="5"/>
  <c r="H52" i="5" s="1"/>
  <c r="F47" i="5"/>
  <c r="G47" i="5"/>
  <c r="H47" i="5"/>
  <c r="J47" i="5"/>
  <c r="K47" i="5"/>
  <c r="F48" i="5"/>
  <c r="G48" i="5"/>
  <c r="J48" i="5"/>
  <c r="F49" i="5"/>
  <c r="G49" i="5"/>
  <c r="H49" i="5"/>
  <c r="J49" i="5"/>
  <c r="K49" i="5"/>
  <c r="R49" i="5"/>
  <c r="F50" i="5"/>
  <c r="G50" i="5"/>
  <c r="H50" i="5"/>
  <c r="J50" i="5"/>
  <c r="E51" i="5"/>
  <c r="J51" i="5"/>
  <c r="E52" i="5"/>
  <c r="J52" i="5"/>
  <c r="E53" i="5"/>
  <c r="G53" i="5"/>
  <c r="L53" i="5"/>
  <c r="L54" i="5"/>
  <c r="Q54" i="5"/>
  <c r="W54" i="5"/>
  <c r="Y54" i="5"/>
  <c r="Z54" i="5"/>
  <c r="A55" i="5"/>
  <c r="B55" i="5"/>
  <c r="C55" i="5"/>
  <c r="D55" i="5"/>
  <c r="E55" i="5"/>
  <c r="F55" i="5"/>
  <c r="I55" i="5"/>
  <c r="S55" i="5"/>
  <c r="H60" i="5" s="1"/>
  <c r="U55" i="5"/>
  <c r="F56" i="5"/>
  <c r="G56" i="5"/>
  <c r="H56" i="5"/>
  <c r="R56" i="5" s="1"/>
  <c r="J56" i="5"/>
  <c r="K56" i="5"/>
  <c r="F57" i="5"/>
  <c r="G57" i="5"/>
  <c r="J57" i="5"/>
  <c r="F58" i="5"/>
  <c r="G58" i="5"/>
  <c r="H58" i="5"/>
  <c r="J58" i="5"/>
  <c r="K58" i="5"/>
  <c r="R58" i="5"/>
  <c r="F59" i="5"/>
  <c r="G59" i="5"/>
  <c r="H59" i="5"/>
  <c r="J59" i="5"/>
  <c r="E60" i="5"/>
  <c r="J60" i="5"/>
  <c r="E61" i="5"/>
  <c r="H61" i="5"/>
  <c r="J61" i="5"/>
  <c r="E62" i="5"/>
  <c r="G62" i="5"/>
  <c r="L62" i="5"/>
  <c r="L63" i="5"/>
  <c r="Q63" i="5"/>
  <c r="W63" i="5"/>
  <c r="Y63" i="5"/>
  <c r="Z63" i="5"/>
  <c r="A64" i="5"/>
  <c r="B64" i="5"/>
  <c r="C64" i="5"/>
  <c r="D64" i="5"/>
  <c r="E64" i="5"/>
  <c r="F64" i="5"/>
  <c r="I64" i="5"/>
  <c r="S64" i="5"/>
  <c r="U64" i="5"/>
  <c r="C65" i="5"/>
  <c r="F66" i="5"/>
  <c r="G66" i="5"/>
  <c r="H66" i="5"/>
  <c r="J66" i="5"/>
  <c r="K66" i="5"/>
  <c r="R66" i="5"/>
  <c r="F67" i="5"/>
  <c r="G67" i="5"/>
  <c r="H67" i="5"/>
  <c r="X72" i="5" s="1"/>
  <c r="J67" i="5"/>
  <c r="K67" i="5"/>
  <c r="F68" i="5"/>
  <c r="G68" i="5"/>
  <c r="H68" i="5"/>
  <c r="G72" i="5" s="1"/>
  <c r="O72" i="5" s="1"/>
  <c r="J68" i="5"/>
  <c r="K68" i="5"/>
  <c r="E69" i="5"/>
  <c r="H69" i="5"/>
  <c r="J69" i="5"/>
  <c r="E70" i="5"/>
  <c r="H70" i="5"/>
  <c r="J70" i="5"/>
  <c r="E71" i="5"/>
  <c r="G71" i="5"/>
  <c r="L72" i="5"/>
  <c r="Q72" i="5" s="1"/>
  <c r="W72" i="5"/>
  <c r="Y72" i="5"/>
  <c r="Z72" i="5"/>
  <c r="A74" i="5"/>
  <c r="A78" i="5"/>
  <c r="A79" i="5"/>
  <c r="B79" i="5"/>
  <c r="D79" i="5"/>
  <c r="E79" i="5"/>
  <c r="F79" i="5"/>
  <c r="G79" i="5"/>
  <c r="H79" i="5"/>
  <c r="I79" i="5"/>
  <c r="J79" i="5"/>
  <c r="K79" i="5"/>
  <c r="S79" i="5"/>
  <c r="T79" i="5"/>
  <c r="U79" i="5"/>
  <c r="V79" i="5"/>
  <c r="G80" i="5"/>
  <c r="J80" i="5"/>
  <c r="P80" i="5" s="1"/>
  <c r="J82" i="5" s="1"/>
  <c r="L80" i="5"/>
  <c r="O80" i="5"/>
  <c r="Q80" i="5"/>
  <c r="W80" i="5"/>
  <c r="X80" i="5"/>
  <c r="Y80" i="5"/>
  <c r="Z80" i="5"/>
  <c r="A82" i="5"/>
  <c r="G82" i="5"/>
  <c r="L82" i="5"/>
  <c r="A85" i="5"/>
  <c r="A86" i="5"/>
  <c r="B86" i="5"/>
  <c r="C86" i="5"/>
  <c r="D86" i="5"/>
  <c r="E86" i="5"/>
  <c r="F86" i="5"/>
  <c r="I86" i="5"/>
  <c r="S86" i="5"/>
  <c r="U86" i="5"/>
  <c r="F87" i="5"/>
  <c r="G87" i="5"/>
  <c r="H87" i="5"/>
  <c r="J87" i="5"/>
  <c r="R87" i="5"/>
  <c r="E88" i="5"/>
  <c r="H88" i="5"/>
  <c r="G91" i="5" s="1"/>
  <c r="O91" i="5" s="1"/>
  <c r="J88" i="5"/>
  <c r="E89" i="5"/>
  <c r="H89" i="5"/>
  <c r="J89" i="5"/>
  <c r="E90" i="5"/>
  <c r="G90" i="5"/>
  <c r="L90" i="5"/>
  <c r="L91" i="5"/>
  <c r="Q91" i="5" s="1"/>
  <c r="W91" i="5"/>
  <c r="X91" i="5"/>
  <c r="Y91" i="5"/>
  <c r="A92" i="5"/>
  <c r="B92" i="5"/>
  <c r="C92" i="5"/>
  <c r="D92" i="5"/>
  <c r="E92" i="5"/>
  <c r="F92" i="5"/>
  <c r="I92" i="5"/>
  <c r="S92" i="5"/>
  <c r="U92" i="5"/>
  <c r="F93" i="5"/>
  <c r="G93" i="5"/>
  <c r="H93" i="5"/>
  <c r="J93" i="5"/>
  <c r="K93" i="5"/>
  <c r="R93" i="5"/>
  <c r="E94" i="5"/>
  <c r="H94" i="5"/>
  <c r="Z97" i="5" s="1"/>
  <c r="J94" i="5"/>
  <c r="E95" i="5"/>
  <c r="H95" i="5"/>
  <c r="J95" i="5"/>
  <c r="E96" i="5"/>
  <c r="G96" i="5"/>
  <c r="L96" i="5"/>
  <c r="G97" i="5"/>
  <c r="O97" i="5" s="1"/>
  <c r="L97" i="5"/>
  <c r="Q97" i="5" s="1"/>
  <c r="W97" i="5"/>
  <c r="X97" i="5"/>
  <c r="Y97" i="5"/>
  <c r="A99" i="5"/>
  <c r="A103" i="5"/>
  <c r="A107" i="5"/>
  <c r="D113" i="5"/>
  <c r="I113" i="5"/>
  <c r="D116" i="5"/>
  <c r="I116" i="5"/>
  <c r="D119" i="5"/>
  <c r="I119" i="5"/>
  <c r="D113" i="10" l="1"/>
  <c r="G102" i="10"/>
  <c r="D111" i="10"/>
  <c r="G100" i="10"/>
  <c r="D109" i="10"/>
  <c r="G98" i="10"/>
  <c r="D114" i="10"/>
  <c r="G103" i="10"/>
  <c r="D110" i="10"/>
  <c r="G99" i="10"/>
  <c r="Q76" i="10"/>
  <c r="CJ101" i="6"/>
  <c r="BA107" i="6"/>
  <c r="L99" i="5"/>
  <c r="G99" i="5"/>
  <c r="L103" i="5"/>
  <c r="L107" i="5"/>
  <c r="L74" i="5"/>
  <c r="G22" i="5"/>
  <c r="AI101" i="6"/>
  <c r="V107" i="6"/>
  <c r="AE101" i="6"/>
  <c r="R107" i="6"/>
  <c r="CY105" i="6"/>
  <c r="X105" i="6" s="1"/>
  <c r="T92" i="5" s="1"/>
  <c r="K94" i="5" s="1"/>
  <c r="CS104" i="6"/>
  <c r="R104" i="6" s="1"/>
  <c r="CZ104" i="6" s="1"/>
  <c r="Y104" i="6" s="1"/>
  <c r="AD104" i="6"/>
  <c r="W69" i="6"/>
  <c r="AJ65" i="6"/>
  <c r="T69" i="6"/>
  <c r="AG65" i="6"/>
  <c r="AQ26" i="6"/>
  <c r="F43" i="6"/>
  <c r="AJ26" i="6"/>
  <c r="W33" i="6"/>
  <c r="Z91" i="5"/>
  <c r="R47" i="5"/>
  <c r="G24" i="5" s="1"/>
  <c r="F132" i="6"/>
  <c r="AS107" i="6"/>
  <c r="AC107" i="6"/>
  <c r="X69" i="6"/>
  <c r="AK65" i="6"/>
  <c r="S69" i="6"/>
  <c r="AF65" i="6"/>
  <c r="CP67" i="6"/>
  <c r="O67" i="6" s="1"/>
  <c r="AH33" i="6"/>
  <c r="BC101" i="6"/>
  <c r="F123" i="6"/>
  <c r="CX51" i="8"/>
  <c r="CX50" i="8"/>
  <c r="AJ107" i="6"/>
  <c r="CT103" i="6"/>
  <c r="S103" i="6" s="1"/>
  <c r="AB103" i="6"/>
  <c r="BB69" i="6"/>
  <c r="R65" i="6"/>
  <c r="F83" i="6"/>
  <c r="CJ65" i="6"/>
  <c r="BA69" i="6"/>
  <c r="CD26" i="6"/>
  <c r="AU33" i="6"/>
  <c r="G45" i="5"/>
  <c r="O45" i="5" s="1"/>
  <c r="BX101" i="6"/>
  <c r="CG107" i="6"/>
  <c r="AO107" i="6"/>
  <c r="U107" i="6"/>
  <c r="AT107" i="6"/>
  <c r="CC101" i="6"/>
  <c r="CZ105" i="6"/>
  <c r="Y105" i="6" s="1"/>
  <c r="V92" i="5" s="1"/>
  <c r="K95" i="5" s="1"/>
  <c r="J97" i="5" s="1"/>
  <c r="P97" i="5" s="1"/>
  <c r="CR105" i="6"/>
  <c r="Q105" i="6" s="1"/>
  <c r="AD107" i="6" s="1"/>
  <c r="T105" i="6"/>
  <c r="AG107" i="6" s="1"/>
  <c r="BY107" i="6"/>
  <c r="AT69" i="6"/>
  <c r="AQ107" i="6"/>
  <c r="CK101" i="6"/>
  <c r="AS69" i="6"/>
  <c r="Q65" i="6"/>
  <c r="F81" i="6"/>
  <c r="CD65" i="6"/>
  <c r="AU69" i="6"/>
  <c r="BZ65" i="6"/>
  <c r="AQ69" i="6"/>
  <c r="CI33" i="6"/>
  <c r="CY31" i="6"/>
  <c r="X31" i="6" s="1"/>
  <c r="T64" i="5" s="1"/>
  <c r="K69" i="5" s="1"/>
  <c r="J72" i="5" s="1"/>
  <c r="P72" i="5" s="1"/>
  <c r="AF33" i="6"/>
  <c r="CZ31" i="6"/>
  <c r="Y31" i="6" s="1"/>
  <c r="V64" i="5" s="1"/>
  <c r="K70" i="5" s="1"/>
  <c r="CX45" i="8"/>
  <c r="CX44" i="8"/>
  <c r="CX46" i="8"/>
  <c r="CG69" i="6"/>
  <c r="BD33" i="6"/>
  <c r="T33" i="6"/>
  <c r="CP31" i="6"/>
  <c r="O31" i="6" s="1"/>
  <c r="CX49" i="8"/>
  <c r="CX48" i="8"/>
  <c r="CX47" i="8"/>
  <c r="CP103" i="6"/>
  <c r="O103" i="6" s="1"/>
  <c r="AO69" i="6"/>
  <c r="FR67" i="6"/>
  <c r="BY69" i="6" s="1"/>
  <c r="AC69" i="6"/>
  <c r="BZ26" i="6"/>
  <c r="CG33" i="6"/>
  <c r="BC33" i="6"/>
  <c r="AI26" i="6"/>
  <c r="V33" i="6"/>
  <c r="CJ26" i="6"/>
  <c r="BA33" i="6"/>
  <c r="BC69" i="6"/>
  <c r="AS33" i="6"/>
  <c r="AO33" i="6"/>
  <c r="CY29" i="6"/>
  <c r="X29" i="6" s="1"/>
  <c r="T46" i="5" s="1"/>
  <c r="K51" i="5" s="1"/>
  <c r="CZ29" i="6"/>
  <c r="Y29" i="6" s="1"/>
  <c r="V46" i="5" s="1"/>
  <c r="K52" i="5" s="1"/>
  <c r="AB31" i="6"/>
  <c r="CP28" i="6"/>
  <c r="O28" i="6" s="1"/>
  <c r="BB33" i="6"/>
  <c r="AP33" i="6"/>
  <c r="CX33" i="8"/>
  <c r="CX37" i="8"/>
  <c r="CX41" i="8"/>
  <c r="CX32" i="8"/>
  <c r="CX36" i="8"/>
  <c r="CX40" i="8"/>
  <c r="CX31" i="8"/>
  <c r="CX35" i="8"/>
  <c r="CX39" i="8"/>
  <c r="CX43" i="8"/>
  <c r="CX34" i="8"/>
  <c r="CX38" i="8"/>
  <c r="CX42" i="8"/>
  <c r="CY30" i="6"/>
  <c r="X30" i="6" s="1"/>
  <c r="T55" i="5" s="1"/>
  <c r="K60" i="5" s="1"/>
  <c r="CZ30" i="6"/>
  <c r="Y30" i="6" s="1"/>
  <c r="V55" i="5" s="1"/>
  <c r="K61" i="5" s="1"/>
  <c r="CX30" i="8"/>
  <c r="CX26" i="8"/>
  <c r="CQ30" i="6"/>
  <c r="P30" i="6" s="1"/>
  <c r="AD30" i="6"/>
  <c r="CQ29" i="6"/>
  <c r="P29" i="6" s="1"/>
  <c r="AD29" i="6"/>
  <c r="CS28" i="6"/>
  <c r="R28" i="6" s="1"/>
  <c r="AB28" i="6"/>
  <c r="CX27" i="8"/>
  <c r="CX28" i="8"/>
  <c r="CX24" i="8"/>
  <c r="CX29" i="8"/>
  <c r="G101" i="10" l="1"/>
  <c r="D112" i="10"/>
  <c r="G104" i="10"/>
  <c r="T111" i="10"/>
  <c r="N111" i="10"/>
  <c r="N110" i="10"/>
  <c r="T110" i="10"/>
  <c r="T80" i="10"/>
  <c r="D87" i="10" s="1"/>
  <c r="M87" i="10" s="1"/>
  <c r="N114" i="10"/>
  <c r="T114" i="10"/>
  <c r="N109" i="10"/>
  <c r="T109" i="10"/>
  <c r="D115" i="10"/>
  <c r="N113" i="10"/>
  <c r="T113" i="10"/>
  <c r="AG101" i="6"/>
  <c r="T107" i="6"/>
  <c r="AE33" i="6"/>
  <c r="K40" i="5"/>
  <c r="BB26" i="6"/>
  <c r="BB137" i="6"/>
  <c r="F46" i="6"/>
  <c r="AO65" i="6"/>
  <c r="F73" i="6"/>
  <c r="CR29" i="6"/>
  <c r="Q29" i="6" s="1"/>
  <c r="CP29" i="6" s="1"/>
  <c r="O29" i="6" s="1"/>
  <c r="H48" i="5"/>
  <c r="CZ28" i="6"/>
  <c r="Y28" i="6" s="1"/>
  <c r="V26" i="6"/>
  <c r="F56" i="6"/>
  <c r="V137" i="6"/>
  <c r="GM31" i="6"/>
  <c r="GO31" i="6"/>
  <c r="AD101" i="6"/>
  <c r="Q107" i="6"/>
  <c r="U101" i="6"/>
  <c r="F129" i="6"/>
  <c r="BB65" i="6"/>
  <c r="F82" i="6"/>
  <c r="AC33" i="6"/>
  <c r="K50" i="5"/>
  <c r="P69" i="6"/>
  <c r="CE69" i="6"/>
  <c r="AC65" i="6"/>
  <c r="CH69" i="6"/>
  <c r="CF69" i="6"/>
  <c r="T26" i="6"/>
  <c r="F54" i="6"/>
  <c r="AU65" i="6"/>
  <c r="F88" i="6"/>
  <c r="F86" i="6"/>
  <c r="AS65" i="6"/>
  <c r="CR30" i="6"/>
  <c r="Q30" i="6" s="1"/>
  <c r="K57" i="5" s="1"/>
  <c r="J63" i="5" s="1"/>
  <c r="P63" i="5" s="1"/>
  <c r="H57" i="5"/>
  <c r="AB29" i="6"/>
  <c r="AP26" i="6"/>
  <c r="F42" i="6"/>
  <c r="AB30" i="6"/>
  <c r="BA26" i="6"/>
  <c r="F53" i="6"/>
  <c r="BA137" i="6"/>
  <c r="BC26" i="6"/>
  <c r="F49" i="6"/>
  <c r="BC137" i="6"/>
  <c r="CI69" i="6"/>
  <c r="BY65" i="6"/>
  <c r="AP69" i="6"/>
  <c r="AP137" i="6" s="1"/>
  <c r="BD26" i="6"/>
  <c r="F58" i="6"/>
  <c r="BD137" i="6"/>
  <c r="CI26" i="6"/>
  <c r="AZ33" i="6"/>
  <c r="CY104" i="6"/>
  <c r="X104" i="6" s="1"/>
  <c r="CG101" i="6"/>
  <c r="AX107" i="6"/>
  <c r="AU26" i="6"/>
  <c r="F52" i="6"/>
  <c r="CY103" i="6"/>
  <c r="X103" i="6" s="1"/>
  <c r="AF107" i="6"/>
  <c r="CZ103" i="6"/>
  <c r="Y103" i="6" s="1"/>
  <c r="K87" i="5"/>
  <c r="AH26" i="6"/>
  <c r="U33" i="6"/>
  <c r="AS101" i="6"/>
  <c r="F124" i="6"/>
  <c r="V101" i="6"/>
  <c r="F130" i="6"/>
  <c r="AQ65" i="6"/>
  <c r="F79" i="6"/>
  <c r="AQ101" i="6"/>
  <c r="F117" i="6"/>
  <c r="AT101" i="6"/>
  <c r="F125" i="6"/>
  <c r="AJ101" i="6"/>
  <c r="W107" i="6"/>
  <c r="CP105" i="6"/>
  <c r="O105" i="6" s="1"/>
  <c r="GM67" i="6"/>
  <c r="CA69" i="6" s="1"/>
  <c r="AB69" i="6"/>
  <c r="F95" i="6"/>
  <c r="X65" i="6"/>
  <c r="W26" i="6"/>
  <c r="F57" i="6"/>
  <c r="W137" i="6"/>
  <c r="F93" i="6"/>
  <c r="W65" i="6"/>
  <c r="R101" i="6"/>
  <c r="F121" i="6"/>
  <c r="CP30" i="6"/>
  <c r="O30" i="6" s="1"/>
  <c r="K59" i="5"/>
  <c r="AO26" i="6"/>
  <c r="F37" i="6"/>
  <c r="AO137" i="6"/>
  <c r="CG65" i="6"/>
  <c r="AX69" i="6"/>
  <c r="AS26" i="6"/>
  <c r="F50" i="6"/>
  <c r="AS137" i="6"/>
  <c r="AF26" i="6"/>
  <c r="S33" i="6"/>
  <c r="AT65" i="6"/>
  <c r="F87" i="6"/>
  <c r="BA65" i="6"/>
  <c r="F89" i="6"/>
  <c r="AC101" i="6"/>
  <c r="CH107" i="6"/>
  <c r="CE107" i="6"/>
  <c r="P107" i="6"/>
  <c r="CF107" i="6"/>
  <c r="AB104" i="6"/>
  <c r="CR104" i="6"/>
  <c r="Q104" i="6" s="1"/>
  <c r="CP104" i="6" s="1"/>
  <c r="O104" i="6" s="1"/>
  <c r="F127" i="6"/>
  <c r="BA101" i="6"/>
  <c r="CG26" i="6"/>
  <c r="AX33" i="6"/>
  <c r="GM103" i="6"/>
  <c r="GP103" i="6"/>
  <c r="CY28" i="6"/>
  <c r="X28" i="6" s="1"/>
  <c r="F85" i="6"/>
  <c r="BC65" i="6"/>
  <c r="BY101" i="6"/>
  <c r="AP107" i="6"/>
  <c r="CI107" i="6"/>
  <c r="AO101" i="6"/>
  <c r="F111" i="6"/>
  <c r="S65" i="6"/>
  <c r="F84" i="6"/>
  <c r="AQ137" i="6"/>
  <c r="F90" i="6"/>
  <c r="T65" i="6"/>
  <c r="E16" i="4"/>
  <c r="F16" i="4" s="1"/>
  <c r="E17" i="4"/>
  <c r="E18" i="4"/>
  <c r="F18" i="4" l="1"/>
  <c r="G18" i="4" s="1"/>
  <c r="T115" i="10"/>
  <c r="T112" i="10"/>
  <c r="N112" i="10"/>
  <c r="N115" i="10" s="1"/>
  <c r="O117" i="10" s="1"/>
  <c r="O118" i="10" s="1"/>
  <c r="GO29" i="6"/>
  <c r="GM29" i="6"/>
  <c r="AB33" i="6"/>
  <c r="AP22" i="6"/>
  <c r="F146" i="6"/>
  <c r="G16" i="7" s="1"/>
  <c r="G18" i="7" s="1"/>
  <c r="AP167" i="6"/>
  <c r="CF101" i="6"/>
  <c r="AW107" i="6"/>
  <c r="AO22" i="6"/>
  <c r="F141" i="6"/>
  <c r="AO167" i="6"/>
  <c r="GP105" i="6"/>
  <c r="GM105" i="6"/>
  <c r="CA107" i="6" s="1"/>
  <c r="AP101" i="6"/>
  <c r="F116" i="6"/>
  <c r="AK33" i="6"/>
  <c r="T37" i="5"/>
  <c r="K42" i="5" s="1"/>
  <c r="AX26" i="6"/>
  <c r="F40" i="6"/>
  <c r="AX137" i="6"/>
  <c r="CE101" i="6"/>
  <c r="AV107" i="6"/>
  <c r="AX65" i="6"/>
  <c r="F76" i="6"/>
  <c r="AB107" i="6"/>
  <c r="CH101" i="6"/>
  <c r="AY107" i="6"/>
  <c r="AS22" i="6"/>
  <c r="F154" i="6"/>
  <c r="E16" i="7" s="1"/>
  <c r="AS167" i="6"/>
  <c r="AR69" i="6"/>
  <c r="CA65" i="6"/>
  <c r="GM28" i="6"/>
  <c r="CA33" i="6" s="1"/>
  <c r="V86" i="5"/>
  <c r="K89" i="5" s="1"/>
  <c r="AL107" i="6"/>
  <c r="AZ69" i="6"/>
  <c r="CI65" i="6"/>
  <c r="BA22" i="6"/>
  <c r="F157" i="6"/>
  <c r="BA167" i="6"/>
  <c r="X63" i="5"/>
  <c r="G63" i="5"/>
  <c r="O63" i="5" s="1"/>
  <c r="AV69" i="6"/>
  <c r="CE65" i="6"/>
  <c r="AL33" i="6"/>
  <c r="V37" i="5"/>
  <c r="K43" i="5" s="1"/>
  <c r="CD107" i="6"/>
  <c r="U26" i="6"/>
  <c r="F55" i="6"/>
  <c r="U137" i="6"/>
  <c r="AZ26" i="6"/>
  <c r="F44" i="6"/>
  <c r="CF65" i="6"/>
  <c r="AW69" i="6"/>
  <c r="F72" i="6"/>
  <c r="P65" i="6"/>
  <c r="Q101" i="6"/>
  <c r="F119" i="6"/>
  <c r="V22" i="6"/>
  <c r="V167" i="6"/>
  <c r="F160" i="6"/>
  <c r="G54" i="5"/>
  <c r="O54" i="5" s="1"/>
  <c r="X54" i="5"/>
  <c r="AE26" i="6"/>
  <c r="R33" i="6"/>
  <c r="AQ22" i="6"/>
  <c r="AQ167" i="6"/>
  <c r="F147" i="6"/>
  <c r="GO30" i="6"/>
  <c r="GM30" i="6"/>
  <c r="BC22" i="6"/>
  <c r="F153" i="6"/>
  <c r="BC167" i="6"/>
  <c r="AK107" i="6"/>
  <c r="T86" i="5"/>
  <c r="K88" i="5" s="1"/>
  <c r="F114" i="6"/>
  <c r="AX101" i="6"/>
  <c r="AP65" i="6"/>
  <c r="F78" i="6"/>
  <c r="CH65" i="6"/>
  <c r="AY69" i="6"/>
  <c r="AD33" i="6"/>
  <c r="K48" i="5"/>
  <c r="J54" i="5" s="1"/>
  <c r="P54" i="5" s="1"/>
  <c r="BB22" i="6"/>
  <c r="F150" i="6"/>
  <c r="BB167" i="6"/>
  <c r="T101" i="6"/>
  <c r="F128" i="6"/>
  <c r="AF101" i="6"/>
  <c r="S107" i="6"/>
  <c r="CI101" i="6"/>
  <c r="AZ107" i="6"/>
  <c r="P101" i="6"/>
  <c r="F110" i="6"/>
  <c r="S26" i="6"/>
  <c r="F48" i="6"/>
  <c r="S137" i="6"/>
  <c r="W22" i="6"/>
  <c r="F161" i="6"/>
  <c r="W167" i="6"/>
  <c r="W101" i="6"/>
  <c r="F131" i="6"/>
  <c r="GP104" i="6"/>
  <c r="GM104" i="6"/>
  <c r="O69" i="6"/>
  <c r="AB65" i="6"/>
  <c r="GO28" i="6"/>
  <c r="J91" i="5"/>
  <c r="P91" i="5" s="1"/>
  <c r="J99" i="5" s="1"/>
  <c r="BD22" i="6"/>
  <c r="F162" i="6"/>
  <c r="BD167" i="6"/>
  <c r="T137" i="6"/>
  <c r="AC26" i="6"/>
  <c r="P33" i="6"/>
  <c r="CF33" i="6"/>
  <c r="CE33" i="6"/>
  <c r="CH33" i="6"/>
  <c r="G16" i="4"/>
  <c r="F17" i="4"/>
  <c r="G17" i="4" s="1"/>
  <c r="E19" i="4" l="1"/>
  <c r="O120" i="10"/>
  <c r="O119" i="10"/>
  <c r="CA101" i="6"/>
  <c r="AR107" i="6"/>
  <c r="O65" i="6"/>
  <c r="F71" i="6"/>
  <c r="R26" i="6"/>
  <c r="F47" i="6"/>
  <c r="R137" i="6"/>
  <c r="W18" i="6"/>
  <c r="F191" i="6"/>
  <c r="CF26" i="6"/>
  <c r="AW33" i="6"/>
  <c r="BD18" i="6"/>
  <c r="F192" i="6"/>
  <c r="AQ18" i="6"/>
  <c r="F177" i="6"/>
  <c r="BA18" i="6"/>
  <c r="F187" i="6"/>
  <c r="P26" i="6"/>
  <c r="F36" i="6"/>
  <c r="P137" i="6"/>
  <c r="S101" i="6"/>
  <c r="F122" i="6"/>
  <c r="BB18" i="6"/>
  <c r="F180" i="6"/>
  <c r="AD26" i="6"/>
  <c r="Q33" i="6"/>
  <c r="AK101" i="6"/>
  <c r="X107" i="6"/>
  <c r="G74" i="5"/>
  <c r="G103" i="5"/>
  <c r="G107" i="5"/>
  <c r="G18" i="5"/>
  <c r="AW65" i="6"/>
  <c r="F75" i="6"/>
  <c r="AU107" i="6"/>
  <c r="CD101" i="6"/>
  <c r="F74" i="6"/>
  <c r="AV65" i="6"/>
  <c r="AL101" i="6"/>
  <c r="Y107" i="6"/>
  <c r="F97" i="6"/>
  <c r="AR65" i="6"/>
  <c r="AY101" i="6"/>
  <c r="F115" i="6"/>
  <c r="AW101" i="6"/>
  <c r="F113" i="6"/>
  <c r="AS18" i="6"/>
  <c r="F184" i="6"/>
  <c r="I19" i="5" s="1"/>
  <c r="AV101" i="6"/>
  <c r="F112" i="6"/>
  <c r="AO18" i="6"/>
  <c r="F171" i="6"/>
  <c r="AB26" i="6"/>
  <c r="O33" i="6"/>
  <c r="CH26" i="6"/>
  <c r="AY33" i="6"/>
  <c r="F77" i="6"/>
  <c r="AY65" i="6"/>
  <c r="CE26" i="6"/>
  <c r="AV33" i="6"/>
  <c r="AZ101" i="6"/>
  <c r="F118" i="6"/>
  <c r="V18" i="6"/>
  <c r="F190" i="6"/>
  <c r="AZ137" i="6"/>
  <c r="AL26" i="6"/>
  <c r="Y33" i="6"/>
  <c r="CA26" i="6"/>
  <c r="AR33" i="6"/>
  <c r="E18" i="7"/>
  <c r="AB101" i="6"/>
  <c r="O107" i="6"/>
  <c r="J45" i="5"/>
  <c r="P45" i="5" s="1"/>
  <c r="AP18" i="6"/>
  <c r="F176" i="6"/>
  <c r="I21" i="5" s="1"/>
  <c r="S22" i="6"/>
  <c r="F152" i="6"/>
  <c r="J16" i="7" s="1"/>
  <c r="J18" i="7" s="1"/>
  <c r="S167" i="6"/>
  <c r="BC18" i="6"/>
  <c r="F183" i="6"/>
  <c r="U22" i="6"/>
  <c r="U167" i="6"/>
  <c r="F159" i="6"/>
  <c r="T22" i="6"/>
  <c r="F158" i="6"/>
  <c r="T167" i="6"/>
  <c r="CC33" i="6"/>
  <c r="G20" i="5"/>
  <c r="AZ65" i="6"/>
  <c r="F80" i="6"/>
  <c r="AX22" i="6"/>
  <c r="F144" i="6"/>
  <c r="AX167" i="6"/>
  <c r="AK26" i="6"/>
  <c r="X33" i="6"/>
  <c r="E14" i="4"/>
  <c r="F14" i="4" s="1"/>
  <c r="G14" i="4" s="1"/>
  <c r="E21" i="4"/>
  <c r="E20" i="4"/>
  <c r="E15" i="4"/>
  <c r="C22" i="4" l="1"/>
  <c r="C23" i="4" s="1"/>
  <c r="T18" i="6"/>
  <c r="F188" i="6"/>
  <c r="U18" i="6"/>
  <c r="F189" i="6"/>
  <c r="I23" i="5" s="1"/>
  <c r="G23" i="5" s="1"/>
  <c r="S18" i="6"/>
  <c r="F182" i="6"/>
  <c r="Y26" i="6"/>
  <c r="F60" i="6"/>
  <c r="Y137" i="6"/>
  <c r="R22" i="6"/>
  <c r="R167" i="6"/>
  <c r="F151" i="6"/>
  <c r="O26" i="6"/>
  <c r="F35" i="6"/>
  <c r="O137" i="6"/>
  <c r="X26" i="6"/>
  <c r="F59" i="6"/>
  <c r="X137" i="6"/>
  <c r="CC26" i="6"/>
  <c r="AT33" i="6"/>
  <c r="AV26" i="6"/>
  <c r="AV137" i="6"/>
  <c r="F38" i="6"/>
  <c r="AY26" i="6"/>
  <c r="F41" i="6"/>
  <c r="AY137" i="6"/>
  <c r="F134" i="6"/>
  <c r="Y101" i="6"/>
  <c r="X101" i="6"/>
  <c r="F133" i="6"/>
  <c r="P22" i="6"/>
  <c r="P167" i="6"/>
  <c r="F140" i="6"/>
  <c r="AU101" i="6"/>
  <c r="F126" i="6"/>
  <c r="AU137" i="6"/>
  <c r="AW26" i="6"/>
  <c r="F39" i="6"/>
  <c r="AW137" i="6"/>
  <c r="AX18" i="6"/>
  <c r="F174" i="6"/>
  <c r="J74" i="5"/>
  <c r="J103" i="5"/>
  <c r="J107" i="5"/>
  <c r="Q26" i="6"/>
  <c r="F45" i="6"/>
  <c r="Q137" i="6"/>
  <c r="AR101" i="6"/>
  <c r="F135" i="6"/>
  <c r="O101" i="6"/>
  <c r="F109" i="6"/>
  <c r="AR26" i="6"/>
  <c r="F61" i="6"/>
  <c r="AR137" i="6"/>
  <c r="AZ22" i="6"/>
  <c r="F148" i="6"/>
  <c r="AZ167" i="6"/>
  <c r="F20" i="4"/>
  <c r="G20" i="4" s="1"/>
  <c r="F21" i="4"/>
  <c r="G21" i="4" s="1"/>
  <c r="F19" i="4"/>
  <c r="G19" i="4" s="1"/>
  <c r="F15" i="4"/>
  <c r="E22" i="4"/>
  <c r="E23" i="4" s="1"/>
  <c r="F22" i="4" l="1"/>
  <c r="F23" i="4" s="1"/>
  <c r="O22" i="6"/>
  <c r="O167" i="6"/>
  <c r="F139" i="6"/>
  <c r="AR22" i="6"/>
  <c r="F165" i="6"/>
  <c r="AR167" i="6"/>
  <c r="AV22" i="6"/>
  <c r="F142" i="6"/>
  <c r="AV167" i="6"/>
  <c r="I24" i="5"/>
  <c r="K109" i="5"/>
  <c r="K108" i="5"/>
  <c r="AU22" i="6"/>
  <c r="F156" i="6"/>
  <c r="H16" i="7" s="1"/>
  <c r="H18" i="7" s="1"/>
  <c r="AU167" i="6"/>
  <c r="P18" i="6"/>
  <c r="F170" i="6"/>
  <c r="AT26" i="6"/>
  <c r="F51" i="6"/>
  <c r="AT137" i="6"/>
  <c r="Q22" i="6"/>
  <c r="F149" i="6"/>
  <c r="Q167" i="6"/>
  <c r="AW22" i="6"/>
  <c r="AW167" i="6"/>
  <c r="F143" i="6"/>
  <c r="R18" i="6"/>
  <c r="F181" i="6"/>
  <c r="AY22" i="6"/>
  <c r="F145" i="6"/>
  <c r="AY167" i="6"/>
  <c r="X22" i="6"/>
  <c r="F163" i="6"/>
  <c r="X167" i="6"/>
  <c r="AZ18" i="6"/>
  <c r="F178" i="6"/>
  <c r="Y22" i="6"/>
  <c r="Y167" i="6"/>
  <c r="F164" i="6"/>
  <c r="G15" i="4"/>
  <c r="G22" i="4" l="1"/>
  <c r="G23" i="4" s="1"/>
  <c r="AY18" i="6"/>
  <c r="F175" i="6"/>
  <c r="Y18" i="6"/>
  <c r="F194" i="6"/>
  <c r="X18" i="6"/>
  <c r="F193" i="6"/>
  <c r="AT22" i="6"/>
  <c r="F155" i="6"/>
  <c r="F16" i="7" s="1"/>
  <c r="AT167" i="6"/>
  <c r="Q18" i="6"/>
  <c r="F179" i="6"/>
  <c r="AU18" i="6"/>
  <c r="F186" i="6"/>
  <c r="I22" i="5" s="1"/>
  <c r="AR18" i="6"/>
  <c r="F195" i="6"/>
  <c r="I18" i="5" s="1"/>
  <c r="O18" i="6"/>
  <c r="F169" i="6"/>
  <c r="AW18" i="6"/>
  <c r="F173" i="6"/>
  <c r="AV18" i="6"/>
  <c r="F172" i="6"/>
  <c r="F18" i="7" l="1"/>
  <c r="I16" i="7"/>
  <c r="I18" i="7" s="1"/>
  <c r="AT18" i="6"/>
  <c r="F185" i="6"/>
  <c r="I20" i="5" s="1"/>
</calcChain>
</file>

<file path=xl/sharedStrings.xml><?xml version="1.0" encoding="utf-8"?>
<sst xmlns="http://schemas.openxmlformats.org/spreadsheetml/2006/main" count="2192" uniqueCount="504">
  <si>
    <t>Вид работ</t>
  </si>
  <si>
    <t>ПИР</t>
  </si>
  <si>
    <t>Оборудование</t>
  </si>
  <si>
    <t>ВСЕГО, тыс.руб. без НДС:</t>
  </si>
  <si>
    <t xml:space="preserve">Идентификатор инвестиционного проекта: </t>
  </si>
  <si>
    <t>№ п/п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</si>
  <si>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</si>
  <si>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</si>
  <si>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</si>
  <si>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</si>
  <si>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</si>
  <si>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</si>
  <si>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1.</t>
  </si>
  <si>
    <t>Прямые затраты</t>
  </si>
  <si>
    <t>2.</t>
  </si>
  <si>
    <t>3.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</si>
  <si>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</si>
  <si>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</si>
  <si>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</si>
  <si>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</si>
  <si>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</si>
  <si>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</si>
  <si>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компл.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</si>
  <si>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</si>
  <si>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</si>
  <si>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</si>
  <si>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</si>
  <si>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Волос, Установка оборудования (реклоузер с телемеханикой) на ВЛ-10 кВ ф.189-04 г Волосово (20-1-08-1-03-04-2-0301)</t>
  </si>
  <si>
    <t>20-1-08-1-03-04-2-0301</t>
  </si>
  <si>
    <t>[должность,подпись(инициалы,фамилия)]</t>
  </si>
  <si>
    <t xml:space="preserve">Проверил  </t>
  </si>
  <si>
    <t xml:space="preserve">Составил  </t>
  </si>
  <si>
    <t xml:space="preserve">   </t>
  </si>
  <si>
    <t xml:space="preserve">Объемы согласовал  </t>
  </si>
  <si>
    <t>Всего с НДС:</t>
  </si>
  <si>
    <t>НДС 20%:</t>
  </si>
  <si>
    <t>чел-ч</t>
  </si>
  <si>
    <t>Затраты труда</t>
  </si>
  <si>
    <t>%</t>
  </si>
  <si>
    <t>СП от ФОТ</t>
  </si>
  <si>
    <t>НР от ФОТ</t>
  </si>
  <si>
    <t>Зарплата</t>
  </si>
  <si>
    <r>
      <t>TOPAZ TM. Е2R2. GSM. DIO4.T-Elec.Sp.LO</t>
    </r>
    <r>
      <rPr>
        <i/>
        <sz val="10"/>
        <rFont val="Arial"/>
        <family val="2"/>
        <charset val="204"/>
      </rPr>
      <t xml:space="preserve">
213 804,53 = 205 115,83 +  3% Трансп +  1,2% Заг.скл</t>
    </r>
  </si>
  <si>
    <t>Материальные ресурсы</t>
  </si>
  <si>
    <t>Эксплуатация машин</t>
  </si>
  <si>
    <t>в т.ч. зарплата машинистов</t>
  </si>
  <si>
    <t>ЗТР всего чел.-час</t>
  </si>
  <si>
    <t>Стоимость в текущих ценах</t>
  </si>
  <si>
    <t>Коэфф. пересчета</t>
  </si>
  <si>
    <t>Пункт коэфф. пересчета</t>
  </si>
  <si>
    <t>Стоимость в ценах 2001г.</t>
  </si>
  <si>
    <t>Попра-вочные коэфф.</t>
  </si>
  <si>
    <t>Цена на ед. изм.</t>
  </si>
  <si>
    <t>Кол-во единиц</t>
  </si>
  <si>
    <t>Ед. изм.</t>
  </si>
  <si>
    <t>Наименование работ и затрат</t>
  </si>
  <si>
    <t>Шифр расценки и коды ресурсов</t>
  </si>
  <si>
    <t>Составлена в ценах декабрь 2021 года</t>
  </si>
  <si>
    <t>Стоимость ед.стр.объема:</t>
  </si>
  <si>
    <t>Строительный объем:</t>
  </si>
  <si>
    <t>Возврат материалов</t>
  </si>
  <si>
    <t>Средства на оплату труда</t>
  </si>
  <si>
    <t>чел. -ч.</t>
  </si>
  <si>
    <t>Нормативная трудоемкость</t>
  </si>
  <si>
    <t xml:space="preserve">     Прочие работы</t>
  </si>
  <si>
    <t xml:space="preserve">     Оборудование</t>
  </si>
  <si>
    <t xml:space="preserve">     Монтажные работы</t>
  </si>
  <si>
    <t xml:space="preserve">     Строительные работы</t>
  </si>
  <si>
    <t>Сметная стоимость</t>
  </si>
  <si>
    <t>текущая цена</t>
  </si>
  <si>
    <t>базовая цена</t>
  </si>
  <si>
    <t>(наименование работ и затрат, наименование объекта)</t>
  </si>
  <si>
    <t xml:space="preserve">Номер заказа   </t>
  </si>
  <si>
    <t>(наименование стройки)</t>
  </si>
  <si>
    <t/>
  </si>
  <si>
    <t>Сборник индексов</t>
  </si>
  <si>
    <t>Уровень цен</t>
  </si>
  <si>
    <t>Лист_НРиСП</t>
  </si>
  <si>
    <t>Разрядность округления результата расчета НР и СП  (с 05.04.2020 - до семи знаков после запятой)</t>
  </si>
  <si>
    <t>Р_ОКР</t>
  </si>
  <si>
    <t>п.27 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</si>
  <si>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</si>
  <si>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К_НР_АЭС</t>
  </si>
  <si>
    <t>п.27 СЛОЖН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</si>
  <si>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</si>
  <si>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К_НР_СЛЖ</t>
  </si>
  <si>
    <t>п.16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</si>
  <si>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</si>
  <si>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 нормам СП при капитальном ремонте зданий и сооружений всех назначений ( если или {РЕМ_ЖИЛ}=[вкл] , или (РЕМ_ПР}=[вкл] )</t>
  </si>
  <si>
    <t>К_СП_РЕМ</t>
  </si>
  <si>
    <t>п.25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</si>
  <si>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</si>
  <si>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при ремонте жилых и общественных зданий если  ( если {РЕМ_ЖИЛ}= [вкл.]</t>
  </si>
  <si>
    <t>К_НР_РЕМ</t>
  </si>
  <si>
    <t>Выполнение работ на горнорудных объектах</t>
  </si>
  <si>
    <t>(вкл) - ФЕРм-08, выполнение работ на горнорудных объектах  (выкл) - ФЕРм-08, выполнение работ на других объектах</t>
  </si>
  <si>
    <t>ГОР</t>
  </si>
  <si>
    <t>Производство работ закрытым способом (обслуживающие процессы)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</si>
  <si>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</si>
  <si>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</t>
  </si>
  <si>
    <t>ЗАКР</t>
  </si>
  <si>
    <t>Диспетчеризация авитранспорта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</si>
  <si>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</si>
  <si>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(вкл)   -  При работах по ДИСПЕТЧЕРЕЗАЦИИ управления движением АВИАТРАНСПОРТОМ {вкл}  (монтажные работы )</t>
  </si>
  <si>
    <t>АВИ</t>
  </si>
  <si>
    <t>Прокладка междугородных в/опт. кабелей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</si>
  <si>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</si>
  <si>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</si>
  <si>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ОПТ/В</t>
  </si>
  <si>
    <t>АЭС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</si>
  <si>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</si>
  <si>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При определении сметной стоимости строительства объектов капитального строительства АЭС.</t>
  </si>
  <si>
    <t>Сложные объекты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</si>
  <si>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</si>
  <si>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</si>
  <si>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СЛЖ</t>
  </si>
  <si>
    <t>для территории Российской Федерации, относящейся к районам Крайнего Севера</t>
  </si>
  <si>
    <t>РКС</t>
  </si>
  <si>
    <t>для территории Российской Федерации, относящейся к местностям, приравненным к районам Крайнего Севера</t>
  </si>
  <si>
    <t>МПРКС</t>
  </si>
  <si>
    <t>для территории Российской Федерации, не относящейся к районам Крайнего Севера и приравненным к ним местностям</t>
  </si>
  <si>
    <t>Территория</t>
  </si>
  <si>
    <t>Капитальный ремонт прозводственных зданий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</si>
  <si>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</si>
  <si>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РЕМ_ПР</t>
  </si>
  <si>
    <t>Капитальный ремонт жилых и общественных зданий</t>
  </si>
  <si>
    <t>КАП. РЕМ. ЖИЛЫХ И ОБЩЕСТВЕННЫХ ЗДАНИЙ</t>
  </si>
  <si>
    <t>РЕМ_ЖИЛ</t>
  </si>
  <si>
    <t>Строительство и реконструкция</t>
  </si>
  <si>
    <t>СТРОИТЕЛЬСТВО и РЕКОНСТРУКЦИЯ  зданий и сооружений всех назначений</t>
  </si>
  <si>
    <t>СТР_РЕК</t>
  </si>
  <si>
    <t>Всего с НР и СП</t>
  </si>
  <si>
    <t>Всего</t>
  </si>
  <si>
    <t>Сметная прибыль</t>
  </si>
  <si>
    <t>СмПриб</t>
  </si>
  <si>
    <t>Накладные расходы</t>
  </si>
  <si>
    <t>НР</t>
  </si>
  <si>
    <t>Перевозка грузов</t>
  </si>
  <si>
    <t>Перевозка</t>
  </si>
  <si>
    <t>Транспорт материалов</t>
  </si>
  <si>
    <t>ТранспМат</t>
  </si>
  <si>
    <t>Трудозатраты машинистов</t>
  </si>
  <si>
    <t>ТрудМаш</t>
  </si>
  <si>
    <t>Трудозатраты строителей</t>
  </si>
  <si>
    <t>ТрудСтр</t>
  </si>
  <si>
    <t>ВозврМат</t>
  </si>
  <si>
    <t>Прочие затраты по ТСН-2001.16</t>
  </si>
  <si>
    <t>ПрочиеЗатр</t>
  </si>
  <si>
    <t>Прочие работы с НР и СП</t>
  </si>
  <si>
    <t>Прочие</t>
  </si>
  <si>
    <t>Монтажные работы с НР и СП</t>
  </si>
  <si>
    <t>Монтаж</t>
  </si>
  <si>
    <t>Строительные работы с НР и СП</t>
  </si>
  <si>
    <t>Строит</t>
  </si>
  <si>
    <t>Основная ЗП рабочих по ТСН-2001.16</t>
  </si>
  <si>
    <t>ОЗПсНРиСП</t>
  </si>
  <si>
    <t>Основная ЗП рабочих</t>
  </si>
  <si>
    <t>ОЗП</t>
  </si>
  <si>
    <t>ЗП машинистов</t>
  </si>
  <si>
    <t>ЗПМ</t>
  </si>
  <si>
    <t>Эксплуатация машин по ТСН-2001.16</t>
  </si>
  <si>
    <t>ЭММсНРиСП</t>
  </si>
  <si>
    <t>ЭММ</t>
  </si>
  <si>
    <t>Стоимость оборудования подрядчика</t>
  </si>
  <si>
    <t>ОборудПод</t>
  </si>
  <si>
    <t>Стоимость оборудования заказчика</t>
  </si>
  <si>
    <t>ОборудЗак</t>
  </si>
  <si>
    <t>Стоимость оборудования (всего)</t>
  </si>
  <si>
    <t>Оборуд</t>
  </si>
  <si>
    <t>Стоимость материалов подрядчика</t>
  </si>
  <si>
    <t>СтМатПод</t>
  </si>
  <si>
    <t>Стоимость материалов заказчика</t>
  </si>
  <si>
    <t>СтМатЗак</t>
  </si>
  <si>
    <t>Стоимость материалов (всего)</t>
  </si>
  <si>
    <t>СтМат</t>
  </si>
  <si>
    <t>Стоимость материалов и оборудования подрядчика</t>
  </si>
  <si>
    <t>СтМатОбПод</t>
  </si>
  <si>
    <t>Стоимость материалов и оборудования заказчика</t>
  </si>
  <si>
    <t>СтМатОбЗак</t>
  </si>
  <si>
    <t>Стоимость материальных ресурсов (всего)</t>
  </si>
  <si>
    <t>СтМатОб</t>
  </si>
  <si>
    <t>ПЗ</t>
  </si>
  <si>
    <t>ФЕРп</t>
  </si>
  <si>
    <t>Пусконаладочные работы (Если АЭС=1, то Пусконаладочные работы технологического оборудования АЭС)</t>
  </si>
  <si>
    <t>Пусконаладочные работы</t>
  </si>
  <si>
    <t>схема</t>
  </si>
  <si>
    <t>ФЕРп-2001, п01-10-003-01, приказ Минстроя России № 876/пр от 26.12.2019</t>
  </si>
  <si>
    <t>Мнемосхема щита диспетчерского управления с количеством принимаемых сигналов: до 50</t>
  </si>
  <si>
    <t>п01-10-003-01</t>
  </si>
  <si>
    <t>7</t>
  </si>
  <si>
    <t>канал</t>
  </si>
  <si>
    <t>ФЕРп-2001, п02-01-003-02, приказ Минстроя России № 876/пр от 26.12.2019</t>
  </si>
  <si>
    <t>Автоматизированная система управления III категории технической сложности с количеством каналов (Кобщ): за каждый канал свыше 2 до 9 добавлять к расценке 02-01-003-01</t>
  </si>
  <si>
    <t>п02-01-003-02</t>
  </si>
  <si>
    <t>система</t>
  </si>
  <si>
    <t>ФЕРп-2001, п02-01-003-03, приказ Минстроя России № 876/пр от 26.12.2019</t>
  </si>
  <si>
    <t>Автоматизированная система управления III категории технической сложности с количеством каналов (Кобщ): 10</t>
  </si>
  <si>
    <t>п02-01-003-03</t>
  </si>
  <si>
    <t>6</t>
  </si>
  <si>
    <t>Новый раздел</t>
  </si>
  <si>
    <t>1,2</t>
  </si>
  <si>
    <t>3</t>
  </si>
  <si>
    <t>205 115,83 +  3% Трансп +  1,2% Заг.скл</t>
  </si>
  <si>
    <t>оборудование (03)</t>
  </si>
  <si>
    <t>оборудование</t>
  </si>
  <si>
    <t>TOPAZ TM. Е2R2. GSM. DIO4.T-Elec.Sp.LO</t>
  </si>
  <si>
    <t>Прайс</t>
  </si>
  <si>
    <t>5</t>
  </si>
  <si>
    <t>мФЕР-08</t>
  </si>
  <si>
    <t>Электротехнические установки: на других объектах</t>
  </si>
  <si>
    <t>Монтажные работы</t>
  </si>
  <si>
    <t>100 ШТ</t>
  </si>
  <si>
    <t>ФЕРм-2001, м08-03-574-01, приказ Минстроя России № 876/пр от 26.12.2019</t>
  </si>
  <si>
    <t>Разводка по устройствам и подключение жил кабелей или проводов сечением: до 10 мм2</t>
  </si>
  <si>
    <t>м08-03-574-01</t>
  </si>
  <si>
    <t>4</t>
  </si>
  <si>
    <t>мФЕР-10</t>
  </si>
  <si>
    <t>Оборудование связи: монтаж радиотелевизионного и электронного оборудования</t>
  </si>
  <si>
    <t>ШТ</t>
  </si>
  <si>
    <t>ФЕРм-2001, м10-04-087-02, приказ Минстроя России № 876/пр от 26.12.2019</t>
  </si>
  <si>
    <t>Устройство антенное развязывающее</t>
  </si>
  <si>
    <t>м10-04-087-02</t>
  </si>
  <si>
    <t>мФЕР-11</t>
  </si>
  <si>
    <t>Приборы, средства автоматизации и вычислительной техники</t>
  </si>
  <si>
    <t>ФЕРм-2001, м11-04-008-01, приказ Минстроя России № 876/пр от 26.12.2019</t>
  </si>
  <si>
    <t>Съемные и выдвижные блоки (модули, ячейки, ТЭЗ), масса: до 5 кг</t>
  </si>
  <si>
    <t>м11-04-008-01</t>
  </si>
  <si>
    <t>2</t>
  </si>
  <si>
    <t>шт.</t>
  </si>
  <si>
    <t>ФЕРм11-01-001-1 пр.№321 от 4 августа 2009 г</t>
  </si>
  <si>
    <t>Конструкции для установки приборов, масса до 1 кг</t>
  </si>
  <si>
    <t>м11-01-001-1</t>
  </si>
  <si>
    <t>1</t>
  </si>
  <si>
    <t>Новая локальная смета</t>
  </si>
  <si>
    <t>ГСН</t>
  </si>
  <si>
    <t>ГОСУДАРСТВЕННЫЕ СМЕТНЫЕ НОРМАТИВЫ (ФЕР-2020),   утвержденные приказами Минстроя России от 26 декабря 2019 г.   № 876/пр (в редакции приказов Минстроя РФ от 30 марта 2020 г.   № 172/пр, от 1 июня 2020 г. № 294/пр, от 30 июня 2020 г. № 352/пр,   от 20 октября 2020 г. № 636/пр, от 9 февраля 2021 г. № 51/пр,   от 24 мая 2021 г. № 321/пр, от 24 июня 2021 г. № 408/пр)</t>
  </si>
  <si>
    <t>Поправки для ГСН (ФЕР) 2020 от 25.06.2021 г И6, И7 Строительство</t>
  </si>
  <si>
    <t>ФЕР-2020 - изменения И6, И7</t>
  </si>
  <si>
    <t>Версия 1.1.0 ГСН (ГЭСН, ФЕР) и ТЕР (Методики НР (812/пр) и СП (774/пр) от 27.07.2021 г.</t>
  </si>
  <si>
    <t>ФЕР-2020  И6, И7 приказы НР № 812/пр, СП № 774/пр</t>
  </si>
  <si>
    <t>Коды ценников</t>
  </si>
  <si>
    <t>Сметные нормы списания</t>
  </si>
  <si>
    <t>реклоузер на ВЛ-10 кВ ф.189-04 г Волосово (20-1-08-1-03-04-2-0301)</t>
  </si>
  <si>
    <t>Новый объект</t>
  </si>
  <si>
    <t>ООО "ИТ Компания "Д-Системс"  Доп. раб. место  FStS-0043766</t>
  </si>
  <si>
    <t>Smeta.RU</t>
  </si>
  <si>
    <t>_PS_</t>
  </si>
  <si>
    <t>Smeta.RU  (495) 974-1589</t>
  </si>
  <si>
    <t>СП</t>
  </si>
  <si>
    <t>_OBSM_</t>
  </si>
  <si>
    <t>чел.-ч</t>
  </si>
  <si>
    <t>Инженер III категории</t>
  </si>
  <si>
    <t>3-200-03</t>
  </si>
  <si>
    <t>Техник I категории</t>
  </si>
  <si>
    <t>3-100-01</t>
  </si>
  <si>
    <t>Ведущий инженер</t>
  </si>
  <si>
    <t>3-300-01</t>
  </si>
  <si>
    <t>Инженер II категории</t>
  </si>
  <si>
    <t>3-200-02</t>
  </si>
  <si>
    <t>Инженер I категории</t>
  </si>
  <si>
    <t>3-200-01</t>
  </si>
  <si>
    <t>РУБ</t>
  </si>
  <si>
    <t>Вспомогательные ненормируемые материалы (2% от ОЗП)</t>
  </si>
  <si>
    <t>999-9950</t>
  </si>
  <si>
    <t>Бирки-оконцеватели</t>
  </si>
  <si>
    <t>ФССЦ-2001, 25.2.01.01-0001, приказ Минстроя России № 876/пр от 26.12.2019</t>
  </si>
  <si>
    <t>25.2.01.01-0001</t>
  </si>
  <si>
    <t>т</t>
  </si>
  <si>
    <t>Лак канифольный КФ-965</t>
  </si>
  <si>
    <t>ФССЦ-2001, 14.4.03.17-0101, приказ Минстроя России № 876/пр от 26.12.2019</t>
  </si>
  <si>
    <t>14.4.03.17-0101</t>
  </si>
  <si>
    <t>Припои оловянно-свинцовые бессурьмянистые, марка ПОС30</t>
  </si>
  <si>
    <t>ФССЦ-2001, 10.3.02.03-0011, приказ Минстроя России № 876/пр от 26.12.2019</t>
  </si>
  <si>
    <t>10.3.02.03-0011</t>
  </si>
  <si>
    <t>кг</t>
  </si>
  <si>
    <t>Нитки швейные</t>
  </si>
  <si>
    <t>ФССЦ-2001, 01.7.20.04-0005, приказ Минстроя России № 876/пр от 26.12.2019</t>
  </si>
  <si>
    <t>01.7.20.04-0005</t>
  </si>
  <si>
    <t>10 м</t>
  </si>
  <si>
    <t>Лента монтажная, тип ЛМ-5</t>
  </si>
  <si>
    <t>ФССЦ-2001, 01.7.06.07-0002, приказ Минстроя России № 876/пр от 26.12.2019</t>
  </si>
  <si>
    <t>01.7.06.07-0002</t>
  </si>
  <si>
    <t>Лента изоляционная прорезиненная односторонняя, ширина 20 мм, толщина 0,25-0,35 мм</t>
  </si>
  <si>
    <t>ФССЦ-2001, 01.7.06.05-0041, приказ Минстроя России № 876/пр от 26.12.2019</t>
  </si>
  <si>
    <t>01.7.06.05-0041</t>
  </si>
  <si>
    <t>Шпагат бумажный</t>
  </si>
  <si>
    <t>ФССЦ-2001, 01.7.02.09-0002, приказ Минстроя России № 876/пр от 26.12.2019</t>
  </si>
  <si>
    <t>01.7.02.09-0002</t>
  </si>
  <si>
    <t>Вазелин технический</t>
  </si>
  <si>
    <t>ФССЦ-2001, 01.3.01.02-0002, приказ Минстроя России № 876/пр от 26.12.2019</t>
  </si>
  <si>
    <t>01.3.01.02-0002</t>
  </si>
  <si>
    <t>маш.-ч.</t>
  </si>
  <si>
    <t>Автомобили бортовые, грузоподъемность до 5 т</t>
  </si>
  <si>
    <t>ФСЭМ-2001, 91.14.02-001 , приказ Минстроя России № 876/пр от 26.12.2019</t>
  </si>
  <si>
    <t>91.14.02-001</t>
  </si>
  <si>
    <t>Краны на автомобильном ходу, грузоподъемность 16 т</t>
  </si>
  <si>
    <t>ФСЭМ-2001, 91.05.05-015 , приказ Минстроя России № 876/пр от 26.12.2019</t>
  </si>
  <si>
    <t>91.05.05-015</t>
  </si>
  <si>
    <t>чел.-ч.</t>
  </si>
  <si>
    <t>Затраты труда машинистов</t>
  </si>
  <si>
    <t>4-100-00</t>
  </si>
  <si>
    <t>Затраты труда рабочих (Средний разряд - 4,2)</t>
  </si>
  <si>
    <t>1-100-42</t>
  </si>
  <si>
    <t>Бирки маркировочные пластмассовые</t>
  </si>
  <si>
    <t>ФССЦ-2001, 25.2.01.01-0017, приказ Минстроя России № 876/пр от 26.12.2019</t>
  </si>
  <si>
    <t>25.2.01.01-0017</t>
  </si>
  <si>
    <t>Наконечники кабельные П6-4Д-МУЗ</t>
  </si>
  <si>
    <t>ФССЦ-2001, 20.2.10.03-0021, приказ Минстроя России № 876/пр от 26.12.2019</t>
  </si>
  <si>
    <t>20.2.10.03-0021</t>
  </si>
  <si>
    <t>Погрузчики, грузоподъемность 5 т</t>
  </si>
  <si>
    <t>ФСЭМ-2001, 91.06.05-011 , приказ Минстроя России № 876/пр от 26.12.2019</t>
  </si>
  <si>
    <t>91.06.05-011</t>
  </si>
  <si>
    <t>Затраты труда рабочих (Средний разряд - 4)</t>
  </si>
  <si>
    <t>1-100-40</t>
  </si>
  <si>
    <t>Затраты труда рабочих (Средний разряд - 3,1)</t>
  </si>
  <si>
    <t>1-100-31</t>
  </si>
  <si>
    <t>1 т</t>
  </si>
  <si>
    <t>Вспомогательные материалы (2% от ОЗП)</t>
  </si>
  <si>
    <t>ФССЦ (2010) ч.9, раздел99, поз.9950</t>
  </si>
  <si>
    <t>Эмаль ХВ-124 защитная, зеленая</t>
  </si>
  <si>
    <t>ФССЦ (2010) ч.1, раздел13, поз.0227</t>
  </si>
  <si>
    <t>113-0227</t>
  </si>
  <si>
    <t>Грунтовка ГФ-021 красно-коричневая</t>
  </si>
  <si>
    <t>ФССЦ (2010) ч.1, раздел13, поз.0021</t>
  </si>
  <si>
    <t>113-0021</t>
  </si>
  <si>
    <t>Растворитель марки Р-4</t>
  </si>
  <si>
    <t>ФССЦ (2010) ч.1, раздел01, поз.2467</t>
  </si>
  <si>
    <t>101-2467</t>
  </si>
  <si>
    <t>м</t>
  </si>
  <si>
    <t>Сталь угловая, марки Ст3, перфорированная УП 35х35 мм</t>
  </si>
  <si>
    <t>ФССЦ (2010) ч.1, раздел01, поз.2250</t>
  </si>
  <si>
    <t>101-2250</t>
  </si>
  <si>
    <t>Сталь листовая горячекатаная марки Ст3 толщиной 2-6 мм</t>
  </si>
  <si>
    <t>ФССЦ (2010) ч.1, раздел01, поз.2216</t>
  </si>
  <si>
    <t>101-2216</t>
  </si>
  <si>
    <t>10 шт.</t>
  </si>
  <si>
    <t>Дюбели пластмассовые диаметр 14 мм</t>
  </si>
  <si>
    <t>ФССЦ (2010) ч.1, раздел01, поз.2207</t>
  </si>
  <si>
    <t>101-2207</t>
  </si>
  <si>
    <t>Болты с гайками и шайбами оцинкованные, диаметр 6 мм</t>
  </si>
  <si>
    <t>ФССЦ (2010) ч.1, раздел01, поз.2036</t>
  </si>
  <si>
    <t>101-2036</t>
  </si>
  <si>
    <t>Электроды диаметром 4 мм Э42</t>
  </si>
  <si>
    <t>ФССЦ (2010) ч.1, раздел01, поз.1513</t>
  </si>
  <si>
    <t>101-1513</t>
  </si>
  <si>
    <t>Уайт-спирит</t>
  </si>
  <si>
    <t>ФССЦ (2010) ч.1, раздел01, поз.1292</t>
  </si>
  <si>
    <t>101-1292</t>
  </si>
  <si>
    <t>маш.-ч</t>
  </si>
  <si>
    <t>Пресс листогибочный кривошипный 1000 кН (100 тс)</t>
  </si>
  <si>
    <t>ФСЭМ (2009), сб.35,поз.0471</t>
  </si>
  <si>
    <t>350471</t>
  </si>
  <si>
    <t>Пресс кривошипный простого действия 25 кН (2,5 тс)</t>
  </si>
  <si>
    <t>ФСЭМ (2009), сб.35,поз.0461</t>
  </si>
  <si>
    <t>350461</t>
  </si>
  <si>
    <t>Агрегаты окрасочные высокого давления для окраски поверхностей конструкций мощностью 1 кВт</t>
  </si>
  <si>
    <t>ФСЭМ (2009), сб.34,поз.0101</t>
  </si>
  <si>
    <t>340101</t>
  </si>
  <si>
    <t>Перфораторы электрические</t>
  </si>
  <si>
    <t>ФСЭМ (2009), сб.33,поз.1451</t>
  </si>
  <si>
    <t>331451</t>
  </si>
  <si>
    <t>Станок сверлильный</t>
  </si>
  <si>
    <t>ФСЭМ (2009), сб.33,поз.1002</t>
  </si>
  <si>
    <t>331002</t>
  </si>
  <si>
    <t>Ножницы листовые кривошипные гильотинные</t>
  </si>
  <si>
    <t>ФСЭМ (2009), сб.33,поз.0900</t>
  </si>
  <si>
    <t>330900</t>
  </si>
  <si>
    <t>Установки для сварки ручной дуговой (постоянного тока)</t>
  </si>
  <si>
    <t>ФСЭМ (2009), сб.04,поз.0502</t>
  </si>
  <si>
    <t>040502</t>
  </si>
  <si>
    <t>Рабочий монтажник среднего разряда 3,2</t>
  </si>
  <si>
    <t>1-2032</t>
  </si>
  <si>
    <t>Расчет составил</t>
  </si>
  <si>
    <t>Расчет проверил</t>
  </si>
  <si>
    <t>руб.</t>
  </si>
  <si>
    <t>Всего с НДС</t>
  </si>
  <si>
    <t>НДС 20%</t>
  </si>
  <si>
    <t>C учетом договорного снижения К=</t>
  </si>
  <si>
    <t>Итого стоимость разработки рабочей документации составляет</t>
  </si>
  <si>
    <t xml:space="preserve">Итого </t>
  </si>
  <si>
    <t xml:space="preserve">ПО </t>
  </si>
  <si>
    <t>МО</t>
  </si>
  <si>
    <t>ТО</t>
  </si>
  <si>
    <t>ИО</t>
  </si>
  <si>
    <t>ОО</t>
  </si>
  <si>
    <t>ОР</t>
  </si>
  <si>
    <t>Рабочая документация</t>
  </si>
  <si>
    <t>Проект</t>
  </si>
  <si>
    <t>в том числе</t>
  </si>
  <si>
    <t>Цена двухстадийной разработки</t>
  </si>
  <si>
    <t>Части технической документации</t>
  </si>
  <si>
    <t>П</t>
  </si>
  <si>
    <t>Части проектной документации</t>
  </si>
  <si>
    <t>Стоимость разработки технической документации на АСУ в соответствии с таблицей 3:</t>
  </si>
  <si>
    <t>7.</t>
  </si>
  <si>
    <t>в текущем уровне цен (без НДС) по стадиям проектирования</t>
  </si>
  <si>
    <t>Стоимость разработки ТД на АСУ ТП, осуществляемой с привлечением средств бюджета г.Москвы,</t>
  </si>
  <si>
    <t>тыс.руб.</t>
  </si>
  <si>
    <t>=</t>
  </si>
  <si>
    <t>х</t>
  </si>
  <si>
    <t xml:space="preserve">Стд(т)г/з = </t>
  </si>
  <si>
    <t>IV квартал 2021 г. Основание - Приказ от 23.09.2021 № МКЭ-ОД/21-68</t>
  </si>
  <si>
    <t>Ки =</t>
  </si>
  <si>
    <t xml:space="preserve">где Кпер - коэффициент пересчета базовой стоимости проектных работ на </t>
  </si>
  <si>
    <t xml:space="preserve">Расчет стоимости текущей стоимости разработки технической документации </t>
  </si>
  <si>
    <t>6.</t>
  </si>
  <si>
    <t xml:space="preserve">Общая базовая цена разработки технической документации равна </t>
  </si>
  <si>
    <t>Спо</t>
  </si>
  <si>
    <t>Смо</t>
  </si>
  <si>
    <t>Сто</t>
  </si>
  <si>
    <t>Сио</t>
  </si>
  <si>
    <t>Соо</t>
  </si>
  <si>
    <t>Сор</t>
  </si>
  <si>
    <t xml:space="preserve">определяем базовые цены разработки каждой из частей технической документации: </t>
  </si>
  <si>
    <t>Программное обеспечение (ПО);</t>
  </si>
  <si>
    <t>ПО-</t>
  </si>
  <si>
    <t>Математическое обеспечение (МО);</t>
  </si>
  <si>
    <t>МО-</t>
  </si>
  <si>
    <t>Техническое обеспечение (ТО);</t>
  </si>
  <si>
    <t>ТО-</t>
  </si>
  <si>
    <t>Информационное обеспечение (ИО);</t>
  </si>
  <si>
    <t>ИО-</t>
  </si>
  <si>
    <t>Организационное обеспечение (ОО);</t>
  </si>
  <si>
    <t>ОО-</t>
  </si>
  <si>
    <t>Общесистемные решения (ОР);</t>
  </si>
  <si>
    <t>ОР-</t>
  </si>
  <si>
    <t>ПО</t>
  </si>
  <si>
    <t xml:space="preserve">Значения долей Дi, % </t>
  </si>
  <si>
    <t>Стоимость двухстадийной разработки, %</t>
  </si>
  <si>
    <t>разработки проектной документации :</t>
  </si>
  <si>
    <t xml:space="preserve"> Дi - доля соответствующей части проектной документации в исходной общей цене </t>
  </si>
  <si>
    <t>где</t>
  </si>
  <si>
    <t xml:space="preserve"> Ci = Сисх х Дi х Ккор.i</t>
  </si>
  <si>
    <t>Базовая стоимость разработки i-тых частей технической документации определяется по формуле (2.3) и составит:</t>
  </si>
  <si>
    <t>5.</t>
  </si>
  <si>
    <t xml:space="preserve">Ккор1 = </t>
  </si>
  <si>
    <t>Для всех остальных частей</t>
  </si>
  <si>
    <t xml:space="preserve">Ккор2 = </t>
  </si>
  <si>
    <t xml:space="preserve">Для ТО и ПО </t>
  </si>
  <si>
    <t>телемеханики (таб. 5. п.3);</t>
  </si>
  <si>
    <t xml:space="preserve">для ТО и ПО - АСУ создается с использованием сети передачи данных устройств </t>
  </si>
  <si>
    <t>К 3 -</t>
  </si>
  <si>
    <t>Привязка частей АСУ в однотипному проекту (таб. 5. п.2);</t>
  </si>
  <si>
    <t>К 2 -</t>
  </si>
  <si>
    <t>Определяем общий корректирующий коэффициент для i-ой части технической документации</t>
  </si>
  <si>
    <t>4.</t>
  </si>
  <si>
    <r>
      <t>С</t>
    </r>
    <r>
      <rPr>
        <sz val="9"/>
        <rFont val="Calibri"/>
        <family val="2"/>
        <charset val="204"/>
      </rPr>
      <t xml:space="preserve">исх.(2000) </t>
    </r>
    <r>
      <rPr>
        <sz val="10"/>
        <rFont val="Calibri"/>
        <family val="2"/>
        <charset val="204"/>
      </rPr>
      <t xml:space="preserve">= Сспот х М = </t>
    </r>
  </si>
  <si>
    <t>Исходная базовая стоимость разработки технической документации на АСУ определяется по формуле (2.3) и составляет:</t>
  </si>
  <si>
    <t>СПОТ;</t>
  </si>
  <si>
    <t>+</t>
  </si>
  <si>
    <t>М = Σ Gi =</t>
  </si>
  <si>
    <t>и составит</t>
  </si>
  <si>
    <t>Определяем величину "мощности" АСУ ПП, выраженную в СПОТ, которая определяется по пункту 2.5 Сборника</t>
  </si>
  <si>
    <t>Итого</t>
  </si>
  <si>
    <t>Реклоузер</t>
  </si>
  <si>
    <t>Примечание</t>
  </si>
  <si>
    <t>Количество ТУ</t>
  </si>
  <si>
    <t>Количество ТС,ТИ</t>
  </si>
  <si>
    <t>Наименование объекта</t>
  </si>
  <si>
    <t>№</t>
  </si>
  <si>
    <t xml:space="preserve">Обоснование определения коэффициентов G3 и G4 </t>
  </si>
  <si>
    <r>
      <t xml:space="preserve">Научно-техн. уровень проектных решений ТО-0%, ОР-0% </t>
    </r>
    <r>
      <rPr>
        <sz val="10"/>
        <color indexed="9"/>
        <rFont val="Calibri"/>
        <family val="2"/>
        <charset val="204"/>
      </rPr>
      <t xml:space="preserve">(таб.1 п.9.) - </t>
    </r>
  </si>
  <si>
    <t>G9 -</t>
  </si>
  <si>
    <t xml:space="preserve">Режим функционирования - Автоматизированный "ручной" режим -  (таб.1 п.8.1.) - </t>
  </si>
  <si>
    <t>G8 -</t>
  </si>
  <si>
    <t>программное управление и (или) автоматическое управление - (таб.1 п.7.2.) -</t>
  </si>
  <si>
    <t xml:space="preserve">степень развитости управляющих функций АСУ - II степень - многоконтурное автоматическое </t>
  </si>
  <si>
    <t>G7 -</t>
  </si>
  <si>
    <t xml:space="preserve">и измерение параметров состояния ТОУ  -  (таб.1 п.6.2.) - </t>
  </si>
  <si>
    <t xml:space="preserve">степень развитости информационных функций АСУ - II степень – централизованный контроль </t>
  </si>
  <si>
    <t>G6 -</t>
  </si>
  <si>
    <r>
      <t xml:space="preserve">количество внутримашинных переменных верхнего уровня - 0 </t>
    </r>
    <r>
      <rPr>
        <sz val="10"/>
        <color indexed="9"/>
        <rFont val="Calibri"/>
        <family val="2"/>
        <charset val="204"/>
      </rPr>
      <t>(табл.1 п.5.1)</t>
    </r>
  </si>
  <si>
    <t>G5 -</t>
  </si>
  <si>
    <t>ТУ</t>
  </si>
  <si>
    <r>
      <t xml:space="preserve">количество управляющих физических сигналов - 0 </t>
    </r>
    <r>
      <rPr>
        <sz val="10"/>
        <color indexed="9"/>
        <rFont val="Calibri"/>
        <family val="2"/>
        <charset val="204"/>
      </rPr>
      <t>(таб.1 п.4.1.) -</t>
    </r>
  </si>
  <si>
    <t>G4 -</t>
  </si>
  <si>
    <t>ТС+ТИ</t>
  </si>
  <si>
    <t xml:space="preserve">количество контролируемых физических сигналов - 20 (таб.1 п.3.1.) - </t>
  </si>
  <si>
    <t>G3 -</t>
  </si>
  <si>
    <t xml:space="preserve">количество технологических операций до 5 (таб.1 п.2.1.) - </t>
  </si>
  <si>
    <t>G2 -</t>
  </si>
  <si>
    <t xml:space="preserve">характер протекания процессов в АСУ - непрерывный (таб.1 п.1.1.) - </t>
  </si>
  <si>
    <t>G1 -</t>
  </si>
  <si>
    <t>Расчет базовой стоимости основных работ по разработке технической документации. 
По таблице 1 определяем величины критериев Gi</t>
  </si>
  <si>
    <t>Составлена на основании Сборника 5.6 единой нормативной базы МРР. Диспетчеризация и телемеханическое управление освещением МРР-5.4-16</t>
  </si>
  <si>
    <t>Подрядчик</t>
  </si>
  <si>
    <t xml:space="preserve">Заказчик </t>
  </si>
  <si>
    <t xml:space="preserve">Наименование работ : </t>
  </si>
  <si>
    <t>ЛОКАЛЬНЫЙ СМЕТНЫЙ РАСЧЕТ (СМЕТА) №</t>
  </si>
  <si>
    <t>Приложение №1 к договору № 0907010 от 01.07.09 г.</t>
  </si>
  <si>
    <t>СМР, в том числе оборудование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</si>
  <si>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</si>
  <si>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</si>
  <si>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</si>
  <si>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</si>
  <si>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</si>
  <si>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Расчет полной стоимости инвестиционного проекта*</t>
  </si>
  <si>
    <t>- строительный контроль **</t>
  </si>
  <si>
    <t>- cодержание службы заказчика застройщика ***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</si>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</sst>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_-* #,##0.00_р_._-;\-* #,##0.00_р_._-;_-* &quot;-&quot;??_р_._-;_-@_-"/>
    <numFmt numFmtId="166" formatCode="#,##0;[Red]\-\ #,##0"/>
    <numFmt numFmtId="167" formatCode="#,##0.00;[Red]\-\ #,##0.00"/>
    <numFmt numFmtId="168" formatCode="#,##0.00####;[Red]\-\ #,##0.00####"/>
    <numFmt numFmtId="169" formatCode="0.000"/>
    <numFmt numFmtId="170" formatCode="0.0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1"/>
      <name val="Arial"/>
      <family val="2"/>
      <charset val="204"/>
    </font>
    <font>
      <b/>
      <sz val="13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12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9"/>
      <name val="Calibri"/>
      <family val="2"/>
      <charset val="204"/>
      <scheme val="minor"/>
    </font>
    <font>
      <sz val="10"/>
      <color indexed="9"/>
      <name val="Calibri"/>
      <family val="2"/>
      <charset val="204"/>
    </font>
    <font>
      <b/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1" fillId="0" borderId="0"/>
  </cellStyleXfs>
  <cellXfs count="21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8"/>
    <xf numFmtId="0" fontId="12" fillId="0" borderId="0" xfId="8" applyFont="1"/>
    <xf numFmtId="0" fontId="13" fillId="0" borderId="4" xfId="8" applyFont="1" applyBorder="1" applyAlignment="1">
      <alignment horizontal="center" vertical="top"/>
    </xf>
    <xf numFmtId="0" fontId="12" fillId="0" borderId="0" xfId="8" applyFont="1" applyAlignment="1">
      <alignment horizontal="right"/>
    </xf>
    <xf numFmtId="0" fontId="12" fillId="0" borderId="1" xfId="8" applyFont="1" applyBorder="1"/>
    <xf numFmtId="0" fontId="12" fillId="0" borderId="0" xfId="8" applyFont="1" applyAlignment="1">
      <alignment vertical="center"/>
    </xf>
    <xf numFmtId="0" fontId="11" fillId="0" borderId="0" xfId="8" applyAlignment="1">
      <alignment horizontal="center"/>
    </xf>
    <xf numFmtId="166" fontId="14" fillId="0" borderId="0" xfId="8" applyNumberFormat="1" applyFont="1" applyAlignment="1">
      <alignment horizontal="right"/>
    </xf>
    <xf numFmtId="0" fontId="14" fillId="0" borderId="0" xfId="8" applyFont="1" applyAlignment="1">
      <alignment horizontal="left" wrapText="1"/>
    </xf>
    <xf numFmtId="166" fontId="15" fillId="0" borderId="0" xfId="8" applyNumberFormat="1" applyFont="1" applyAlignment="1">
      <alignment horizontal="right"/>
    </xf>
    <xf numFmtId="0" fontId="15" fillId="0" borderId="0" xfId="8" applyFont="1" applyAlignment="1">
      <alignment horizontal="left" wrapText="1"/>
    </xf>
    <xf numFmtId="167" fontId="16" fillId="0" borderId="0" xfId="8" applyNumberFormat="1" applyFont="1" applyAlignment="1">
      <alignment horizontal="right"/>
    </xf>
    <xf numFmtId="166" fontId="15" fillId="0" borderId="0" xfId="8" applyNumberFormat="1" applyFont="1" applyAlignment="1">
      <alignment horizontal="right"/>
    </xf>
    <xf numFmtId="0" fontId="15" fillId="0" borderId="0" xfId="8" applyFont="1"/>
    <xf numFmtId="167" fontId="11" fillId="0" borderId="0" xfId="8" applyNumberFormat="1"/>
    <xf numFmtId="166" fontId="11" fillId="0" borderId="0" xfId="8" applyNumberFormat="1"/>
    <xf numFmtId="166" fontId="15" fillId="0" borderId="4" xfId="8" applyNumberFormat="1" applyFont="1" applyBorder="1" applyAlignment="1">
      <alignment horizontal="right"/>
    </xf>
    <xf numFmtId="167" fontId="13" fillId="0" borderId="1" xfId="8" applyNumberFormat="1" applyFont="1" applyBorder="1" applyAlignment="1">
      <alignment horizontal="right"/>
    </xf>
    <xf numFmtId="166" fontId="12" fillId="0" borderId="1" xfId="8" applyNumberFormat="1" applyFont="1" applyBorder="1" applyAlignment="1">
      <alignment horizontal="right"/>
    </xf>
    <xf numFmtId="0" fontId="12" fillId="0" borderId="1" xfId="8" applyFont="1" applyBorder="1" applyAlignment="1">
      <alignment horizontal="right" wrapText="1"/>
    </xf>
    <xf numFmtId="168" fontId="12" fillId="0" borderId="1" xfId="8" applyNumberFormat="1" applyFont="1" applyBorder="1" applyAlignment="1">
      <alignment horizontal="right"/>
    </xf>
    <xf numFmtId="0" fontId="12" fillId="0" borderId="1" xfId="8" applyFont="1" applyBorder="1" applyAlignment="1">
      <alignment horizontal="right"/>
    </xf>
    <xf numFmtId="0" fontId="17" fillId="0" borderId="1" xfId="8" applyFont="1" applyBorder="1" applyAlignment="1">
      <alignment horizontal="right" wrapText="1"/>
    </xf>
    <xf numFmtId="0" fontId="12" fillId="0" borderId="1" xfId="8" applyFont="1" applyBorder="1" applyAlignment="1">
      <alignment horizontal="left" vertical="top" wrapText="1"/>
    </xf>
    <xf numFmtId="0" fontId="12" fillId="0" borderId="1" xfId="8" applyFont="1" applyBorder="1" applyAlignment="1">
      <alignment horizontal="left" vertical="top"/>
    </xf>
    <xf numFmtId="0" fontId="13" fillId="0" borderId="0" xfId="8" applyFont="1" applyAlignment="1">
      <alignment horizontal="right"/>
    </xf>
    <xf numFmtId="166" fontId="12" fillId="0" borderId="0" xfId="8" applyNumberFormat="1" applyFont="1" applyAlignment="1">
      <alignment horizontal="right"/>
    </xf>
    <xf numFmtId="0" fontId="12" fillId="0" borderId="0" xfId="8" applyFont="1" applyAlignment="1">
      <alignment horizontal="left" wrapText="1"/>
    </xf>
    <xf numFmtId="0" fontId="3" fillId="0" borderId="0" xfId="8" applyFont="1" applyAlignment="1">
      <alignment horizontal="right" wrapText="1"/>
    </xf>
    <xf numFmtId="0" fontId="12" fillId="0" borderId="0" xfId="8" applyFont="1" applyAlignment="1">
      <alignment horizontal="right" wrapText="1"/>
    </xf>
    <xf numFmtId="168" fontId="3" fillId="0" borderId="0" xfId="8" applyNumberFormat="1" applyFont="1" applyAlignment="1">
      <alignment horizontal="left"/>
    </xf>
    <xf numFmtId="0" fontId="17" fillId="0" borderId="0" xfId="8" applyFont="1" applyAlignment="1">
      <alignment horizontal="right" wrapText="1"/>
    </xf>
    <xf numFmtId="0" fontId="12" fillId="0" borderId="0" xfId="8" applyFont="1" applyAlignment="1">
      <alignment horizontal="left" vertical="top" wrapText="1"/>
    </xf>
    <xf numFmtId="0" fontId="12" fillId="0" borderId="0" xfId="8" applyFont="1" applyAlignment="1">
      <alignment horizontal="left" vertical="top"/>
    </xf>
    <xf numFmtId="168" fontId="12" fillId="0" borderId="0" xfId="8" applyNumberFormat="1" applyFont="1" applyAlignment="1">
      <alignment horizontal="right"/>
    </xf>
    <xf numFmtId="0" fontId="18" fillId="0" borderId="0" xfId="8" applyFont="1" applyAlignment="1">
      <alignment horizontal="center" wrapText="1"/>
    </xf>
    <xf numFmtId="0" fontId="13" fillId="0" borderId="1" xfId="8" applyFont="1" applyBorder="1" applyAlignment="1">
      <alignment horizontal="right"/>
    </xf>
    <xf numFmtId="0" fontId="3" fillId="0" borderId="0" xfId="8" applyFont="1" applyAlignment="1">
      <alignment vertical="top" wrapText="1"/>
    </xf>
    <xf numFmtId="166" fontId="17" fillId="0" borderId="0" xfId="8" applyNumberFormat="1" applyFont="1" applyAlignment="1">
      <alignment horizontal="right"/>
    </xf>
    <xf numFmtId="0" fontId="12" fillId="0" borderId="3" xfId="8" applyFont="1" applyBorder="1" applyAlignment="1">
      <alignment horizontal="center"/>
    </xf>
    <xf numFmtId="0" fontId="12" fillId="0" borderId="5" xfId="8" applyFont="1" applyBorder="1" applyAlignment="1">
      <alignment horizontal="center"/>
    </xf>
    <xf numFmtId="0" fontId="12" fillId="0" borderId="3" xfId="8" applyFont="1" applyBorder="1" applyAlignment="1">
      <alignment horizontal="center" vertical="center" wrapText="1"/>
    </xf>
    <xf numFmtId="0" fontId="12" fillId="0" borderId="1" xfId="8" applyFont="1" applyBorder="1" applyAlignment="1">
      <alignment horizontal="left"/>
    </xf>
    <xf numFmtId="0" fontId="20" fillId="0" borderId="0" xfId="8" applyFont="1" applyAlignment="1">
      <alignment horizontal="right" vertical="top"/>
    </xf>
    <xf numFmtId="0" fontId="20" fillId="0" borderId="0" xfId="8" applyFont="1" applyAlignment="1">
      <alignment horizontal="left"/>
    </xf>
    <xf numFmtId="0" fontId="12" fillId="0" borderId="0" xfId="8" applyFont="1" applyAlignment="1"/>
    <xf numFmtId="0" fontId="12" fillId="0" borderId="0" xfId="8" applyFont="1" applyAlignment="1">
      <alignment horizontal="left"/>
    </xf>
    <xf numFmtId="0" fontId="12" fillId="0" borderId="0" xfId="8" applyFont="1" applyAlignment="1">
      <alignment horizontal="right" vertical="top"/>
    </xf>
    <xf numFmtId="0" fontId="15" fillId="0" borderId="0" xfId="8" applyFont="1" applyAlignment="1">
      <alignment horizontal="right"/>
    </xf>
    <xf numFmtId="167" fontId="12" fillId="0" borderId="0" xfId="8" applyNumberFormat="1" applyFont="1" applyAlignment="1">
      <alignment horizontal="right"/>
    </xf>
    <xf numFmtId="0" fontId="12" fillId="0" borderId="0" xfId="8" applyFont="1" applyAlignment="1">
      <alignment horizontal="right"/>
    </xf>
    <xf numFmtId="0" fontId="12" fillId="0" borderId="0" xfId="8" applyFont="1"/>
    <xf numFmtId="0" fontId="15" fillId="0" borderId="0" xfId="8" applyFont="1" applyAlignment="1">
      <alignment horizontal="right"/>
    </xf>
    <xf numFmtId="0" fontId="12" fillId="0" borderId="0" xfId="8" applyFont="1" applyAlignment="1">
      <alignment horizontal="center" vertical="top"/>
    </xf>
    <xf numFmtId="0" fontId="12" fillId="0" borderId="0" xfId="8" applyFont="1" applyAlignment="1">
      <alignment horizontal="center"/>
    </xf>
    <xf numFmtId="0" fontId="12" fillId="0" borderId="0" xfId="8" applyFont="1" applyAlignment="1">
      <alignment horizontal="left" wrapText="1"/>
    </xf>
    <xf numFmtId="0" fontId="12" fillId="0" borderId="0" xfId="8" applyFont="1" applyBorder="1" applyAlignment="1">
      <alignment wrapText="1"/>
    </xf>
    <xf numFmtId="0" fontId="13" fillId="0" borderId="0" xfId="8" applyFont="1" applyBorder="1" applyAlignment="1">
      <alignment horizontal="center" vertical="top" wrapText="1"/>
    </xf>
    <xf numFmtId="0" fontId="15" fillId="0" borderId="0" xfId="8" applyFont="1" applyBorder="1" applyAlignment="1">
      <alignment wrapText="1"/>
    </xf>
    <xf numFmtId="0" fontId="21" fillId="0" borderId="1" xfId="8" applyFont="1" applyBorder="1" applyAlignment="1">
      <alignment horizontal="center" wrapText="1"/>
    </xf>
    <xf numFmtId="0" fontId="15" fillId="0" borderId="0" xfId="8" applyFont="1" applyAlignment="1">
      <alignment vertical="center" wrapText="1"/>
    </xf>
    <xf numFmtId="0" fontId="21" fillId="0" borderId="0" xfId="8" applyFont="1" applyBorder="1" applyAlignment="1">
      <alignment horizontal="center" wrapText="1"/>
    </xf>
    <xf numFmtId="0" fontId="14" fillId="0" borderId="0" xfId="8" applyFont="1" applyBorder="1" applyAlignment="1">
      <alignment horizontal="center" wrapText="1"/>
    </xf>
    <xf numFmtId="0" fontId="14" fillId="0" borderId="0" xfId="8" applyFont="1" applyBorder="1" applyAlignment="1">
      <alignment horizontal="center" wrapText="1"/>
    </xf>
    <xf numFmtId="0" fontId="12" fillId="0" borderId="0" xfId="8" applyFont="1" applyAlignment="1">
      <alignment wrapText="1"/>
    </xf>
    <xf numFmtId="0" fontId="12" fillId="0" borderId="0" xfId="8" applyFont="1" applyAlignment="1">
      <alignment horizontal="right" wrapText="1"/>
    </xf>
    <xf numFmtId="0" fontId="13" fillId="0" borderId="4" xfId="8" applyFont="1" applyBorder="1" applyAlignment="1">
      <alignment horizontal="center" vertical="top" wrapText="1"/>
    </xf>
    <xf numFmtId="0" fontId="12" fillId="0" borderId="0" xfId="8" applyFont="1" applyBorder="1"/>
    <xf numFmtId="0" fontId="20" fillId="0" borderId="0" xfId="8" applyFont="1" applyBorder="1" applyAlignment="1">
      <alignment horizontal="center" wrapText="1"/>
    </xf>
    <xf numFmtId="0" fontId="13" fillId="0" borderId="0" xfId="8" applyFont="1"/>
    <xf numFmtId="0" fontId="22" fillId="0" borderId="0" xfId="8" applyFont="1"/>
    <xf numFmtId="0" fontId="23" fillId="0" borderId="0" xfId="8" applyFont="1"/>
    <xf numFmtId="0" fontId="24" fillId="0" borderId="0" xfId="8" applyFont="1"/>
    <xf numFmtId="0" fontId="25" fillId="0" borderId="0" xfId="8" applyFont="1"/>
    <xf numFmtId="0" fontId="26" fillId="0" borderId="0" xfId="8" applyFont="1"/>
    <xf numFmtId="0" fontId="27" fillId="0" borderId="0" xfId="8" applyFont="1"/>
    <xf numFmtId="0" fontId="28" fillId="0" borderId="0" xfId="8" applyFont="1"/>
    <xf numFmtId="0" fontId="29" fillId="0" borderId="0" xfId="8" applyFont="1"/>
    <xf numFmtId="0" fontId="30" fillId="0" borderId="0" xfId="2" applyFont="1"/>
    <xf numFmtId="9" fontId="30" fillId="0" borderId="0" xfId="2" applyNumberFormat="1" applyFont="1"/>
    <xf numFmtId="4" fontId="30" fillId="0" borderId="0" xfId="2" applyNumberFormat="1" applyFont="1"/>
    <xf numFmtId="4" fontId="31" fillId="0" borderId="0" xfId="2" applyNumberFormat="1" applyFont="1"/>
    <xf numFmtId="0" fontId="31" fillId="0" borderId="0" xfId="2" applyFont="1"/>
    <xf numFmtId="0" fontId="30" fillId="0" borderId="0" xfId="2" applyFont="1" applyFill="1"/>
    <xf numFmtId="0" fontId="31" fillId="0" borderId="0" xfId="2" applyFont="1" applyFill="1" applyBorder="1"/>
    <xf numFmtId="0" fontId="30" fillId="0" borderId="0" xfId="2" applyFont="1" applyFill="1" applyBorder="1"/>
    <xf numFmtId="0" fontId="31" fillId="0" borderId="0" xfId="2" applyFont="1" applyFill="1"/>
    <xf numFmtId="0" fontId="31" fillId="0" borderId="1" xfId="2" applyFont="1" applyFill="1" applyBorder="1"/>
    <xf numFmtId="0" fontId="30" fillId="0" borderId="1" xfId="2" applyFont="1" applyFill="1" applyBorder="1"/>
    <xf numFmtId="0" fontId="31" fillId="0" borderId="0" xfId="2" applyFont="1" applyBorder="1"/>
    <xf numFmtId="0" fontId="30" fillId="0" borderId="0" xfId="2" applyFont="1" applyBorder="1"/>
    <xf numFmtId="4" fontId="32" fillId="0" borderId="0" xfId="2" applyNumberFormat="1" applyFont="1" applyFill="1" applyAlignment="1">
      <alignment horizontal="left"/>
    </xf>
    <xf numFmtId="4" fontId="33" fillId="0" borderId="0" xfId="2" applyNumberFormat="1" applyFont="1" applyFill="1" applyAlignment="1">
      <alignment horizontal="center"/>
    </xf>
    <xf numFmtId="0" fontId="33" fillId="0" borderId="0" xfId="2" applyFont="1" applyFill="1"/>
    <xf numFmtId="4" fontId="32" fillId="0" borderId="0" xfId="2" applyNumberFormat="1" applyFont="1" applyAlignment="1"/>
    <xf numFmtId="4" fontId="33" fillId="0" borderId="0" xfId="2" applyNumberFormat="1" applyFont="1" applyAlignment="1">
      <alignment horizontal="right" indent="1"/>
    </xf>
    <xf numFmtId="0" fontId="33" fillId="0" borderId="0" xfId="2" applyFont="1"/>
    <xf numFmtId="4" fontId="33" fillId="0" borderId="0" xfId="2" applyNumberFormat="1" applyFont="1" applyAlignment="1">
      <alignment horizontal="right" indent="1"/>
    </xf>
    <xf numFmtId="4" fontId="34" fillId="0" borderId="0" xfId="2" applyNumberFormat="1" applyFont="1" applyAlignment="1">
      <alignment horizontal="left"/>
    </xf>
    <xf numFmtId="4" fontId="34" fillId="0" borderId="0" xfId="2" applyNumberFormat="1" applyFont="1" applyAlignment="1"/>
    <xf numFmtId="4" fontId="30" fillId="0" borderId="0" xfId="2" applyNumberFormat="1" applyFont="1" applyAlignment="1">
      <alignment horizontal="right" indent="1"/>
    </xf>
    <xf numFmtId="0" fontId="30" fillId="0" borderId="0" xfId="2" applyFont="1" applyAlignment="1">
      <alignment horizontal="left"/>
    </xf>
    <xf numFmtId="0" fontId="30" fillId="0" borderId="0" xfId="2" applyFont="1" applyAlignment="1">
      <alignment horizontal="right"/>
    </xf>
    <xf numFmtId="2" fontId="30" fillId="0" borderId="0" xfId="2" applyNumberFormat="1" applyFont="1"/>
    <xf numFmtId="2" fontId="30" fillId="0" borderId="3" xfId="2" applyNumberFormat="1" applyFont="1" applyBorder="1" applyAlignment="1">
      <alignment horizontal="center"/>
    </xf>
    <xf numFmtId="0" fontId="30" fillId="0" borderId="3" xfId="2" applyFont="1" applyBorder="1" applyAlignment="1">
      <alignment horizontal="center"/>
    </xf>
    <xf numFmtId="2" fontId="30" fillId="0" borderId="3" xfId="2" applyNumberFormat="1" applyFont="1" applyBorder="1" applyAlignment="1">
      <alignment horizontal="center"/>
    </xf>
    <xf numFmtId="0" fontId="30" fillId="0" borderId="5" xfId="2" applyFont="1" applyBorder="1" applyAlignment="1">
      <alignment horizontal="center"/>
    </xf>
    <xf numFmtId="169" fontId="30" fillId="0" borderId="6" xfId="2" applyNumberFormat="1" applyFont="1" applyBorder="1" applyAlignment="1">
      <alignment horizontal="center"/>
    </xf>
    <xf numFmtId="169" fontId="30" fillId="0" borderId="7" xfId="2" applyNumberFormat="1" applyFont="1" applyBorder="1" applyAlignment="1">
      <alignment horizontal="center"/>
    </xf>
    <xf numFmtId="169" fontId="30" fillId="0" borderId="5" xfId="2" applyNumberFormat="1" applyFont="1" applyBorder="1" applyAlignment="1">
      <alignment horizontal="center"/>
    </xf>
    <xf numFmtId="0" fontId="30" fillId="0" borderId="3" xfId="2" applyFont="1" applyBorder="1" applyAlignment="1">
      <alignment horizontal="center"/>
    </xf>
    <xf numFmtId="0" fontId="30" fillId="0" borderId="6" xfId="2" applyFont="1" applyBorder="1" applyAlignment="1">
      <alignment horizontal="center"/>
    </xf>
    <xf numFmtId="0" fontId="30" fillId="0" borderId="7" xfId="2" applyFont="1" applyBorder="1" applyAlignment="1">
      <alignment horizontal="center"/>
    </xf>
    <xf numFmtId="0" fontId="30" fillId="0" borderId="5" xfId="2" applyFont="1" applyBorder="1" applyAlignment="1">
      <alignment horizontal="center"/>
    </xf>
    <xf numFmtId="0" fontId="30" fillId="0" borderId="3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wrapText="1"/>
    </xf>
    <xf numFmtId="0" fontId="30" fillId="0" borderId="7" xfId="2" applyFont="1" applyBorder="1" applyAlignment="1">
      <alignment horizontal="center" wrapText="1"/>
    </xf>
    <xf numFmtId="0" fontId="30" fillId="0" borderId="5" xfId="2" applyFont="1" applyBorder="1" applyAlignment="1">
      <alignment horizontal="center" wrapText="1"/>
    </xf>
    <xf numFmtId="0" fontId="30" fillId="0" borderId="3" xfId="2" applyFont="1" applyBorder="1" applyAlignment="1">
      <alignment horizontal="center" wrapText="1"/>
    </xf>
    <xf numFmtId="2" fontId="30" fillId="0" borderId="0" xfId="2" applyNumberFormat="1" applyFont="1" applyFill="1"/>
    <xf numFmtId="0" fontId="30" fillId="0" borderId="3" xfId="2" applyFont="1" applyFill="1" applyBorder="1" applyAlignment="1">
      <alignment horizontal="center"/>
    </xf>
    <xf numFmtId="2" fontId="30" fillId="0" borderId="3" xfId="2" applyNumberFormat="1" applyFont="1" applyFill="1" applyBorder="1" applyAlignment="1">
      <alignment horizontal="center"/>
    </xf>
    <xf numFmtId="0" fontId="30" fillId="0" borderId="5" xfId="2" applyFont="1" applyFill="1" applyBorder="1" applyAlignment="1">
      <alignment horizontal="center"/>
    </xf>
    <xf numFmtId="0" fontId="30" fillId="2" borderId="0" xfId="2" applyFont="1" applyFill="1"/>
    <xf numFmtId="0" fontId="30" fillId="0" borderId="6" xfId="2" applyFont="1" applyFill="1" applyBorder="1" applyAlignment="1">
      <alignment horizontal="center"/>
    </xf>
    <xf numFmtId="0" fontId="30" fillId="0" borderId="7" xfId="2" applyFont="1" applyFill="1" applyBorder="1" applyAlignment="1">
      <alignment horizontal="center"/>
    </xf>
    <xf numFmtId="0" fontId="30" fillId="0" borderId="5" xfId="2" applyFont="1" applyFill="1" applyBorder="1" applyAlignment="1">
      <alignment horizontal="center"/>
    </xf>
    <xf numFmtId="0" fontId="30" fillId="0" borderId="3" xfId="2" applyFont="1" applyFill="1" applyBorder="1" applyAlignment="1">
      <alignment horizontal="center"/>
    </xf>
    <xf numFmtId="0" fontId="30" fillId="0" borderId="0" xfId="2" applyFont="1" applyFill="1" applyAlignment="1">
      <alignment horizontal="justify" vertical="center"/>
    </xf>
    <xf numFmtId="0" fontId="30" fillId="0" borderId="0" xfId="2" applyFont="1" applyBorder="1" applyAlignment="1"/>
    <xf numFmtId="170" fontId="30" fillId="0" borderId="0" xfId="2" applyNumberFormat="1" applyFont="1" applyAlignment="1">
      <alignment horizontal="left"/>
    </xf>
    <xf numFmtId="0" fontId="30" fillId="0" borderId="0" xfId="2" applyFont="1" applyAlignment="1">
      <alignment horizontal="left"/>
    </xf>
    <xf numFmtId="0" fontId="30" fillId="0" borderId="0" xfId="2" applyFont="1" applyAlignment="1">
      <alignment horizontal="center"/>
    </xf>
    <xf numFmtId="169" fontId="30" fillId="0" borderId="0" xfId="2" applyNumberFormat="1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3" borderId="0" xfId="2" applyFont="1" applyFill="1" applyAlignment="1">
      <alignment horizontal="center"/>
    </xf>
    <xf numFmtId="0" fontId="30" fillId="0" borderId="0" xfId="2" applyFont="1" applyAlignment="1">
      <alignment horizontal="center"/>
    </xf>
    <xf numFmtId="169" fontId="30" fillId="0" borderId="0" xfId="2" applyNumberFormat="1" applyFont="1" applyAlignment="1">
      <alignment horizontal="center"/>
    </xf>
    <xf numFmtId="0" fontId="30" fillId="0" borderId="0" xfId="2" applyFont="1" applyAlignment="1">
      <alignment wrapText="1"/>
    </xf>
    <xf numFmtId="0" fontId="30" fillId="0" borderId="0" xfId="2" applyFont="1" applyFill="1" applyAlignment="1">
      <alignment wrapText="1"/>
    </xf>
    <xf numFmtId="0" fontId="30" fillId="0" borderId="0" xfId="2" applyFont="1" applyFill="1" applyAlignment="1">
      <alignment horizontal="center"/>
    </xf>
    <xf numFmtId="0" fontId="30" fillId="0" borderId="0" xfId="2" applyFont="1" applyBorder="1" applyAlignment="1">
      <alignment horizontal="center"/>
    </xf>
    <xf numFmtId="169" fontId="30" fillId="0" borderId="0" xfId="2" applyNumberFormat="1" applyFont="1"/>
    <xf numFmtId="0" fontId="30" fillId="0" borderId="0" xfId="2" applyFont="1" applyAlignment="1"/>
    <xf numFmtId="170" fontId="30" fillId="0" borderId="0" xfId="2" applyNumberFormat="1" applyFont="1" applyBorder="1" applyAlignment="1">
      <alignment horizontal="center"/>
    </xf>
    <xf numFmtId="9" fontId="30" fillId="0" borderId="0" xfId="2" applyNumberFormat="1" applyFont="1" applyBorder="1" applyAlignment="1">
      <alignment horizontal="center"/>
    </xf>
    <xf numFmtId="0" fontId="30" fillId="0" borderId="0" xfId="2" applyFont="1" applyBorder="1" applyAlignment="1">
      <alignment horizontal="center" vertical="center"/>
    </xf>
    <xf numFmtId="9" fontId="30" fillId="0" borderId="0" xfId="2" applyNumberFormat="1" applyFont="1" applyBorder="1" applyAlignment="1">
      <alignment horizontal="center" vertical="center"/>
    </xf>
    <xf numFmtId="170" fontId="30" fillId="0" borderId="3" xfId="2" applyNumberFormat="1" applyFont="1" applyFill="1" applyBorder="1" applyAlignment="1">
      <alignment horizontal="center"/>
    </xf>
    <xf numFmtId="170" fontId="30" fillId="0" borderId="3" xfId="2" applyNumberFormat="1" applyFont="1" applyFill="1" applyBorder="1" applyAlignment="1">
      <alignment horizontal="center"/>
    </xf>
    <xf numFmtId="9" fontId="30" fillId="0" borderId="3" xfId="2" applyNumberFormat="1" applyFont="1" applyBorder="1" applyAlignment="1">
      <alignment horizontal="center"/>
    </xf>
    <xf numFmtId="170" fontId="30" fillId="0" borderId="3" xfId="2" applyNumberFormat="1" applyFont="1" applyBorder="1" applyAlignment="1">
      <alignment horizontal="center"/>
    </xf>
    <xf numFmtId="170" fontId="30" fillId="0" borderId="3" xfId="2" applyNumberFormat="1" applyFont="1" applyBorder="1" applyAlignment="1">
      <alignment horizontal="center"/>
    </xf>
    <xf numFmtId="0" fontId="30" fillId="0" borderId="0" xfId="2" applyFont="1" applyBorder="1" applyAlignment="1">
      <alignment horizontal="center"/>
    </xf>
    <xf numFmtId="0" fontId="30" fillId="0" borderId="0" xfId="2" applyFont="1" applyBorder="1" applyAlignment="1">
      <alignment horizontal="left"/>
    </xf>
    <xf numFmtId="169" fontId="30" fillId="0" borderId="0" xfId="2" applyNumberFormat="1" applyFont="1" applyAlignment="1">
      <alignment horizontal="left"/>
    </xf>
    <xf numFmtId="0" fontId="30" fillId="0" borderId="4" xfId="2" applyFont="1" applyFill="1" applyBorder="1" applyAlignment="1">
      <alignment horizontal="center"/>
    </xf>
    <xf numFmtId="0" fontId="30" fillId="0" borderId="4" xfId="2" applyFont="1" applyBorder="1" applyAlignment="1">
      <alignment horizontal="center"/>
    </xf>
    <xf numFmtId="0" fontId="37" fillId="0" borderId="6" xfId="2" applyFont="1" applyBorder="1" applyAlignment="1">
      <alignment horizontal="center"/>
    </xf>
    <xf numFmtId="0" fontId="37" fillId="0" borderId="7" xfId="2" applyFont="1" applyBorder="1" applyAlignment="1">
      <alignment horizontal="center"/>
    </xf>
    <xf numFmtId="0" fontId="37" fillId="0" borderId="5" xfId="2" applyFont="1" applyBorder="1" applyAlignment="1">
      <alignment horizontal="center"/>
    </xf>
    <xf numFmtId="0" fontId="37" fillId="0" borderId="3" xfId="2" applyFont="1" applyBorder="1" applyAlignment="1">
      <alignment horizontal="center"/>
    </xf>
    <xf numFmtId="0" fontId="37" fillId="0" borderId="6" xfId="2" applyFont="1" applyBorder="1" applyAlignment="1">
      <alignment horizontal="left" wrapText="1"/>
    </xf>
    <xf numFmtId="0" fontId="37" fillId="0" borderId="7" xfId="2" applyFont="1" applyBorder="1" applyAlignment="1">
      <alignment horizontal="left" wrapText="1"/>
    </xf>
    <xf numFmtId="0" fontId="37" fillId="0" borderId="5" xfId="2" applyFont="1" applyBorder="1" applyAlignment="1">
      <alignment horizontal="left" wrapText="1"/>
    </xf>
    <xf numFmtId="0" fontId="30" fillId="0" borderId="0" xfId="2" applyFont="1" applyAlignment="1">
      <alignment horizontal="center" vertical="center" wrapText="1"/>
    </xf>
    <xf numFmtId="0" fontId="37" fillId="0" borderId="3" xfId="2" applyFont="1" applyBorder="1" applyAlignment="1">
      <alignment horizontal="right"/>
    </xf>
    <xf numFmtId="0" fontId="37" fillId="0" borderId="6" xfId="2" applyFont="1" applyFill="1" applyBorder="1" applyAlignment="1">
      <alignment horizontal="center"/>
    </xf>
    <xf numFmtId="0" fontId="37" fillId="0" borderId="7" xfId="2" applyFont="1" applyFill="1" applyBorder="1" applyAlignment="1">
      <alignment horizontal="center"/>
    </xf>
    <xf numFmtId="0" fontId="37" fillId="0" borderId="5" xfId="2" applyFont="1" applyFill="1" applyBorder="1" applyAlignment="1">
      <alignment horizontal="center"/>
    </xf>
    <xf numFmtId="0" fontId="37" fillId="0" borderId="3" xfId="2" applyFont="1" applyFill="1" applyBorder="1" applyAlignment="1">
      <alignment horizontal="center"/>
    </xf>
    <xf numFmtId="0" fontId="37" fillId="0" borderId="6" xfId="2" applyFont="1" applyFill="1" applyBorder="1" applyAlignment="1">
      <alignment horizontal="left" wrapText="1"/>
    </xf>
    <xf numFmtId="0" fontId="37" fillId="0" borderId="7" xfId="2" applyFont="1" applyFill="1" applyBorder="1" applyAlignment="1">
      <alignment horizontal="left" wrapText="1"/>
    </xf>
    <xf numFmtId="0" fontId="37" fillId="0" borderId="5" xfId="2" applyFont="1" applyFill="1" applyBorder="1" applyAlignment="1">
      <alignment horizontal="left" wrapText="1"/>
    </xf>
    <xf numFmtId="169" fontId="30" fillId="0" borderId="0" xfId="2" applyNumberFormat="1" applyFont="1" applyFill="1" applyAlignment="1">
      <alignment horizontal="left"/>
    </xf>
    <xf numFmtId="0" fontId="30" fillId="0" borderId="0" xfId="2" applyFont="1" applyFill="1" applyAlignment="1">
      <alignment horizontal="right"/>
    </xf>
    <xf numFmtId="0" fontId="30" fillId="4" borderId="0" xfId="2" applyFont="1" applyFill="1"/>
    <xf numFmtId="169" fontId="30" fillId="3" borderId="0" xfId="2" applyNumberFormat="1" applyFont="1" applyFill="1" applyAlignment="1">
      <alignment horizontal="left"/>
    </xf>
    <xf numFmtId="0" fontId="30" fillId="3" borderId="0" xfId="2" applyFont="1" applyFill="1"/>
    <xf numFmtId="0" fontId="30" fillId="3" borderId="0" xfId="2" applyFont="1" applyFill="1" applyAlignment="1">
      <alignment horizontal="right"/>
    </xf>
    <xf numFmtId="0" fontId="3" fillId="0" borderId="0" xfId="2" applyAlignment="1">
      <alignment wrapText="1"/>
    </xf>
    <xf numFmtId="0" fontId="33" fillId="0" borderId="0" xfId="2" applyFont="1" applyFill="1" applyAlignment="1">
      <alignment horizontal="justify" wrapText="1"/>
    </xf>
    <xf numFmtId="0" fontId="3" fillId="0" borderId="0" xfId="2" applyFill="1" applyAlignment="1">
      <alignment wrapText="1"/>
    </xf>
    <xf numFmtId="0" fontId="33" fillId="0" borderId="0" xfId="2" applyFont="1" applyAlignment="1">
      <alignment horizontal="center"/>
    </xf>
    <xf numFmtId="0" fontId="39" fillId="0" borderId="0" xfId="2" applyFont="1" applyAlignment="1">
      <alignment horizontal="center"/>
    </xf>
    <xf numFmtId="0" fontId="30" fillId="0" borderId="0" xfId="2" applyFont="1" applyFill="1" applyAlignment="1">
      <alignment horizontal="right" vertical="top"/>
    </xf>
    <xf numFmtId="0" fontId="30" fillId="0" borderId="0" xfId="2" applyFont="1" applyAlignment="1">
      <alignment horizontal="right"/>
    </xf>
    <xf numFmtId="0" fontId="10" fillId="0" borderId="0" xfId="0" applyFont="1" applyAlignment="1">
      <alignment horizontal="right" vertical="top"/>
    </xf>
  </cellXfs>
  <cellStyles count="9">
    <cellStyle name="Обычный" xfId="0" builtinId="0"/>
    <cellStyle name="Обычный 10 2 3 2 2 2" xfId="3"/>
    <cellStyle name="Обычный 2" xfId="1"/>
    <cellStyle name="Обычный 2 2" xfId="2"/>
    <cellStyle name="Обычный 2 2 2" xfId="4"/>
    <cellStyle name="Обычный 2 3" xfId="7"/>
    <cellStyle name="Обычный 3" xfId="8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13" workbookViewId="0">
      <selection activeCell="B24" sqref="B24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20</v>
      </c>
    </row>
    <row r="3" spans="1:8" x14ac:dyDescent="0.25">
      <c r="A3" s="1" t="s">
        <v>11</v>
      </c>
    </row>
    <row r="5" spans="1:8" x14ac:dyDescent="0.25">
      <c r="A5" s="25" t="s">
        <v>27</v>
      </c>
      <c r="B5" s="25"/>
      <c r="C5" s="25"/>
      <c r="D5" s="25"/>
      <c r="E5" s="25"/>
      <c r="F5" s="25"/>
    </row>
    <row r="7" spans="1:8" ht="21" customHeight="1" x14ac:dyDescent="0.25">
      <c r="A7" s="8" t="s">
        <v>4</v>
      </c>
      <c r="F7" s="26" t="s">
        <v>28</v>
      </c>
      <c r="G7" s="26"/>
      <c r="H7" s="26"/>
    </row>
    <row r="8" spans="1:8" x14ac:dyDescent="0.25">
      <c r="A8" s="9"/>
    </row>
    <row r="9" spans="1:8" x14ac:dyDescent="0.25">
      <c r="A9" s="8" t="s">
        <v>6</v>
      </c>
      <c r="C9" s="20"/>
      <c r="F9" s="26">
        <v>2024</v>
      </c>
      <c r="G9" s="26"/>
      <c r="H9" s="26"/>
    </row>
    <row r="10" spans="1:8" x14ac:dyDescent="0.25">
      <c r="A10" s="9"/>
    </row>
    <row r="11" spans="1:8" x14ac:dyDescent="0.25">
      <c r="A11" s="5" t="s">
        <v>496</v>
      </c>
      <c r="B11" s="3"/>
      <c r="C11" s="3"/>
    </row>
    <row r="12" spans="1:8" x14ac:dyDescent="0.25">
      <c r="A12" s="12"/>
      <c r="B12" s="3"/>
      <c r="C12" s="3"/>
    </row>
    <row r="13" spans="1:8" ht="63.75" customHeight="1" x14ac:dyDescent="0.25">
      <c r="A13" s="6" t="s">
        <v>5</v>
      </c>
      <c r="B13" s="6" t="s">
        <v>0</v>
      </c>
      <c r="C13" s="18" t="s">
        <v>21</v>
      </c>
      <c r="D13" s="19" t="s">
        <v>502</v>
      </c>
      <c r="E13" s="19" t="s">
        <v>7</v>
      </c>
      <c r="F13" s="19" t="s">
        <v>8</v>
      </c>
      <c r="G13" s="19" t="s">
        <v>9</v>
      </c>
    </row>
    <row r="14" spans="1:8" x14ac:dyDescent="0.25">
      <c r="A14" s="10">
        <v>1</v>
      </c>
      <c r="B14" s="11" t="s">
        <v>1</v>
      </c>
      <c r="C14" s="21">
        <v>86210</v>
      </c>
      <c r="D14" s="22">
        <v>1</v>
      </c>
      <c r="E14" s="22">
        <f>C14*D14</f>
        <v>86210</v>
      </c>
      <c r="F14" s="22">
        <f>E14*0.2</f>
        <v>17242</v>
      </c>
      <c r="G14" s="22">
        <f>E14+F14</f>
        <v>103452</v>
      </c>
    </row>
    <row r="15" spans="1:8" x14ac:dyDescent="0.25">
      <c r="A15" s="10">
        <v>2</v>
      </c>
      <c r="B15" s="11" t="s">
        <v>490</v>
      </c>
      <c r="C15" s="22">
        <f>213805.3333333+201748</f>
        <v>415553.33333329996</v>
      </c>
      <c r="D15" s="22">
        <v>1</v>
      </c>
      <c r="E15" s="22">
        <f t="shared" ref="E15:E21" si="0">C15*D15</f>
        <v>415553.33333329996</v>
      </c>
      <c r="F15" s="22">
        <f t="shared" ref="F15:F21" si="1">E15*0.2</f>
        <v>83110.666666659992</v>
      </c>
      <c r="G15" s="22">
        <f t="shared" ref="G15:G21" si="2">E15+F15</f>
        <v>498663.99999995995</v>
      </c>
    </row>
    <row r="16" spans="1:8" x14ac:dyDescent="0.25">
      <c r="A16" s="10">
        <v>3</v>
      </c>
      <c r="B16" s="11" t="s">
        <v>23</v>
      </c>
      <c r="C16" s="22">
        <v>0</v>
      </c>
      <c r="D16" s="22">
        <v>1</v>
      </c>
      <c r="E16" s="22">
        <f t="shared" si="0"/>
        <v>0</v>
      </c>
      <c r="F16" s="22">
        <f t="shared" si="1"/>
        <v>0</v>
      </c>
      <c r="G16" s="22">
        <f t="shared" si="2"/>
        <v>0</v>
      </c>
    </row>
    <row r="17" spans="1:8" x14ac:dyDescent="0.25">
      <c r="A17" s="10" t="s">
        <v>491</v>
      </c>
      <c r="B17" s="11" t="s">
        <v>24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10" t="s">
        <v>492</v>
      </c>
      <c r="B18" s="13" t="s">
        <v>497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493</v>
      </c>
      <c r="B19" s="13" t="s">
        <v>498</v>
      </c>
      <c r="C19" s="22">
        <f>(C14+C15)*H19</f>
        <v>42348.825333330518</v>
      </c>
      <c r="D19" s="22">
        <v>1</v>
      </c>
      <c r="E19" s="22">
        <f>C19*D19</f>
        <v>42348.825333330518</v>
      </c>
      <c r="F19" s="22">
        <f t="shared" si="1"/>
        <v>8469.7650666661048</v>
      </c>
      <c r="G19" s="22">
        <f>E19+F19</f>
        <v>50818.590399996625</v>
      </c>
      <c r="H19" s="23">
        <v>8.4400000000000003E-2</v>
      </c>
    </row>
    <row r="20" spans="1:8" x14ac:dyDescent="0.25">
      <c r="A20" s="10" t="s">
        <v>494</v>
      </c>
      <c r="B20" s="11" t="s">
        <v>25</v>
      </c>
      <c r="C20" s="22">
        <f>(C14+C15)*H20</f>
        <v>14300.25499999905</v>
      </c>
      <c r="D20" s="22">
        <v>1</v>
      </c>
      <c r="E20" s="22">
        <f>C20*D20</f>
        <v>14300.25499999905</v>
      </c>
      <c r="F20" s="22">
        <f t="shared" si="1"/>
        <v>2860.0509999998103</v>
      </c>
      <c r="G20" s="22">
        <f t="shared" si="2"/>
        <v>17160.305999998862</v>
      </c>
      <c r="H20" s="23">
        <v>2.8500000000000001E-2</v>
      </c>
    </row>
    <row r="21" spans="1:8" x14ac:dyDescent="0.25">
      <c r="A21" s="10" t="s">
        <v>495</v>
      </c>
      <c r="B21" s="11" t="s">
        <v>26</v>
      </c>
      <c r="C21" s="22">
        <f>(C14+C15)*H21</f>
        <v>10888.264333332609</v>
      </c>
      <c r="D21" s="22">
        <v>1</v>
      </c>
      <c r="E21" s="22">
        <f t="shared" si="0"/>
        <v>10888.264333332609</v>
      </c>
      <c r="F21" s="22">
        <f t="shared" si="1"/>
        <v>2177.6528666665217</v>
      </c>
      <c r="G21" s="22">
        <f t="shared" si="2"/>
        <v>13065.91719999913</v>
      </c>
      <c r="H21" s="23">
        <v>2.1700000000000001E-2</v>
      </c>
    </row>
    <row r="22" spans="1:8" x14ac:dyDescent="0.25">
      <c r="A22" s="10"/>
      <c r="B22" s="14" t="s">
        <v>3</v>
      </c>
      <c r="C22" s="22">
        <f>SUM(C14:C21)</f>
        <v>569300.67799996224</v>
      </c>
      <c r="D22" s="22">
        <v>1</v>
      </c>
      <c r="E22" s="22">
        <f>SUM(E14:E21)</f>
        <v>569300.67799996224</v>
      </c>
      <c r="F22" s="22">
        <f>SUM(F14:F21)</f>
        <v>113860.13559999244</v>
      </c>
      <c r="G22" s="22">
        <f>F22+E22</f>
        <v>683160.81359995471</v>
      </c>
    </row>
    <row r="23" spans="1:8" x14ac:dyDescent="0.25">
      <c r="A23" s="10"/>
      <c r="B23" s="14" t="s">
        <v>503</v>
      </c>
      <c r="C23" s="22">
        <f>C22</f>
        <v>569300.67799996224</v>
      </c>
      <c r="D23" s="22">
        <v>1</v>
      </c>
      <c r="E23" s="22">
        <f>E22</f>
        <v>569300.67799996224</v>
      </c>
      <c r="F23" s="22">
        <f>F22</f>
        <v>113860.13559999244</v>
      </c>
      <c r="G23" s="22">
        <f>G22</f>
        <v>683160.81359995471</v>
      </c>
    </row>
    <row r="24" spans="1:8" x14ac:dyDescent="0.25">
      <c r="E24" s="3"/>
    </row>
    <row r="25" spans="1:8" s="3" customFormat="1" ht="12.75" x14ac:dyDescent="0.2">
      <c r="A25" s="12" t="s">
        <v>16</v>
      </c>
      <c r="B25" s="12"/>
    </row>
    <row r="26" spans="1:8" s="16" customFormat="1" ht="42.75" customHeight="1" x14ac:dyDescent="0.25">
      <c r="A26" s="215" t="s">
        <v>17</v>
      </c>
      <c r="B26" s="24" t="s">
        <v>499</v>
      </c>
      <c r="C26" s="24"/>
      <c r="D26" s="24"/>
      <c r="E26" s="24"/>
      <c r="F26" s="24"/>
      <c r="G26" s="24"/>
    </row>
    <row r="27" spans="1:8" s="16" customFormat="1" ht="18.75" customHeight="1" x14ac:dyDescent="0.25">
      <c r="A27" s="15" t="s">
        <v>18</v>
      </c>
      <c r="B27" s="24" t="s">
        <v>500</v>
      </c>
      <c r="C27" s="24"/>
      <c r="D27" s="24"/>
      <c r="E27" s="24"/>
      <c r="F27" s="24"/>
      <c r="G27" s="24"/>
    </row>
    <row r="28" spans="1:8" s="16" customFormat="1" ht="15" customHeight="1" x14ac:dyDescent="0.25">
      <c r="A28" s="15" t="s">
        <v>19</v>
      </c>
      <c r="B28" s="24" t="s">
        <v>501</v>
      </c>
      <c r="C28" s="24"/>
      <c r="D28" s="24"/>
      <c r="E28" s="24"/>
      <c r="F28" s="24"/>
      <c r="G28" s="24"/>
    </row>
    <row r="29" spans="1:8" s="3" customFormat="1" ht="12.75" x14ac:dyDescent="0.2">
      <c r="A29" s="7"/>
    </row>
    <row r="30" spans="1:8" x14ac:dyDescent="0.25">
      <c r="B30" s="16"/>
    </row>
  </sheetData>
  <mergeCells count="6">
    <mergeCell ref="B26:G26"/>
    <mergeCell ref="B27:G27"/>
    <mergeCell ref="B28:G28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0"/>
  <sheetViews>
    <sheetView view="pageBreakPreview" topLeftCell="A95" zoomScale="80" zoomScaleNormal="100" zoomScaleSheetLayoutView="80" workbookViewId="0">
      <selection activeCell="F38" sqref="F38"/>
    </sheetView>
  </sheetViews>
  <sheetFormatPr defaultRowHeight="12.75" x14ac:dyDescent="0.2"/>
  <cols>
    <col min="1" max="1" width="5.7109375" style="27" customWidth="1"/>
    <col min="2" max="2" width="11.7109375" style="27" customWidth="1"/>
    <col min="3" max="3" width="40.7109375" style="27" customWidth="1"/>
    <col min="4" max="5" width="10.7109375" style="27" customWidth="1"/>
    <col min="6" max="8" width="12.7109375" style="27" customWidth="1"/>
    <col min="9" max="9" width="17.7109375" style="27" customWidth="1"/>
    <col min="10" max="10" width="8.7109375" style="27" customWidth="1"/>
    <col min="11" max="11" width="12.7109375" style="27" customWidth="1"/>
    <col min="12" max="12" width="9.7109375" style="27" customWidth="1"/>
    <col min="13" max="14" width="9.140625" style="27"/>
    <col min="15" max="36" width="0" style="27" hidden="1" customWidth="1"/>
    <col min="37" max="16384" width="9.140625" style="27"/>
  </cols>
  <sheetData>
    <row r="1" spans="1:12" x14ac:dyDescent="0.2">
      <c r="A1" s="96" t="str">
        <f>Source!B1</f>
        <v>Smeta.RU  (495) 974-1589</v>
      </c>
    </row>
    <row r="2" spans="1:12" ht="15" x14ac:dyDescent="0.2">
      <c r="A2" s="83"/>
      <c r="B2" s="95" t="s">
        <v>27</v>
      </c>
      <c r="C2" s="95"/>
      <c r="D2" s="95"/>
      <c r="E2" s="95"/>
      <c r="F2" s="95"/>
      <c r="G2" s="95"/>
      <c r="H2" s="95"/>
      <c r="I2" s="95"/>
      <c r="J2" s="95"/>
      <c r="K2" s="95"/>
      <c r="L2" s="83"/>
    </row>
    <row r="3" spans="1:12" ht="14.25" x14ac:dyDescent="0.2">
      <c r="A3" s="94"/>
      <c r="B3" s="93" t="s">
        <v>73</v>
      </c>
      <c r="C3" s="93"/>
      <c r="D3" s="93"/>
      <c r="E3" s="93"/>
      <c r="F3" s="93"/>
      <c r="G3" s="93"/>
      <c r="H3" s="93"/>
      <c r="I3" s="93"/>
      <c r="J3" s="93"/>
      <c r="K3" s="93"/>
      <c r="L3" s="83"/>
    </row>
    <row r="4" spans="1:12" ht="14.25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4.25" x14ac:dyDescent="0.2">
      <c r="A5" s="28"/>
      <c r="B5" s="28"/>
      <c r="C5" s="28"/>
      <c r="D5" s="28"/>
      <c r="E5" s="28"/>
      <c r="F5" s="92" t="s">
        <v>72</v>
      </c>
      <c r="G5" s="92"/>
      <c r="H5" s="82" t="str">
        <f>IF(Source!F12&lt;&gt;"Новый объект", Source!F12, "")</f>
        <v/>
      </c>
      <c r="I5" s="82"/>
      <c r="J5" s="82"/>
      <c r="K5" s="82"/>
      <c r="L5" s="91"/>
    </row>
    <row r="6" spans="1:12" ht="14.25" x14ac:dyDescent="0.2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ht="15.75" x14ac:dyDescent="0.25">
      <c r="A7" s="87"/>
      <c r="B7" s="90" t="str">
        <f>CONCATENATE( "ЛОКАЛЬНЫЙ СМЕТНЫЙ РАСЧЕТ (СМЕТА) № ",IF(Source!F12&lt;&gt;"Новый объект", Source!F12, ""))</f>
        <v xml:space="preserve">ЛОКАЛЬНЫЙ СМЕТНЫЙ РАСЧЕТ (СМЕТА) № </v>
      </c>
      <c r="C7" s="90"/>
      <c r="D7" s="90"/>
      <c r="E7" s="90"/>
      <c r="F7" s="90"/>
      <c r="G7" s="90"/>
      <c r="H7" s="90"/>
      <c r="I7" s="90"/>
      <c r="J7" s="90"/>
      <c r="K7" s="90"/>
      <c r="L7" s="87"/>
    </row>
    <row r="8" spans="1:12" ht="15.75" x14ac:dyDescent="0.25">
      <c r="A8" s="87"/>
      <c r="B8" s="89"/>
      <c r="C8" s="89"/>
      <c r="D8" s="89"/>
      <c r="E8" s="89"/>
      <c r="F8" s="89"/>
      <c r="G8" s="89"/>
      <c r="H8" s="89"/>
      <c r="I8" s="89"/>
      <c r="J8" s="89"/>
      <c r="K8" s="89"/>
      <c r="L8" s="87"/>
    </row>
    <row r="9" spans="1:12" ht="18" hidden="1" x14ac:dyDescent="0.25">
      <c r="A9" s="87"/>
      <c r="B9" s="88"/>
      <c r="C9" s="88"/>
      <c r="D9" s="88"/>
      <c r="E9" s="88"/>
      <c r="F9" s="88"/>
      <c r="G9" s="88"/>
      <c r="H9" s="88"/>
      <c r="I9" s="88"/>
      <c r="J9" s="88"/>
      <c r="K9" s="88"/>
      <c r="L9" s="87"/>
    </row>
    <row r="10" spans="1:12" ht="14.25" hidden="1" x14ac:dyDescent="0.2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2" ht="18" x14ac:dyDescent="0.25">
      <c r="A11" s="28"/>
      <c r="B11" s="86" t="str">
        <f>IF(Source!G12&lt;&gt;"Новый объект", Source!G12, "")</f>
        <v>реклоузер на ВЛ-10 кВ ф.189-04 г Волосово (20-1-08-1-03-04-2-0301)</v>
      </c>
      <c r="C11" s="86"/>
      <c r="D11" s="86"/>
      <c r="E11" s="86"/>
      <c r="F11" s="86"/>
      <c r="G11" s="86"/>
      <c r="H11" s="86"/>
      <c r="I11" s="86"/>
      <c r="J11" s="86"/>
      <c r="K11" s="86"/>
      <c r="L11" s="85"/>
    </row>
    <row r="12" spans="1:12" ht="14.25" x14ac:dyDescent="0.2">
      <c r="A12" s="28"/>
      <c r="B12" s="84" t="s">
        <v>71</v>
      </c>
      <c r="C12" s="84"/>
      <c r="D12" s="84"/>
      <c r="E12" s="84"/>
      <c r="F12" s="84"/>
      <c r="G12" s="84"/>
      <c r="H12" s="84"/>
      <c r="I12" s="84"/>
      <c r="J12" s="84"/>
      <c r="K12" s="84"/>
      <c r="L12" s="83"/>
    </row>
    <row r="13" spans="1:12" ht="14.25" x14ac:dyDescent="0.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1:12" ht="14.25" x14ac:dyDescent="0.2">
      <c r="A14" s="82" t="str">
        <f>CONCATENATE("Основание: ", Source!J12)</f>
        <v xml:space="preserve">Основание: 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</row>
    <row r="15" spans="1:12" ht="14.25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1:12" ht="14.25" x14ac:dyDescent="0.2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ht="14.25" x14ac:dyDescent="0.2">
      <c r="A17" s="28"/>
      <c r="B17" s="28"/>
      <c r="C17" s="28"/>
      <c r="D17" s="28"/>
      <c r="E17" s="81"/>
      <c r="F17" s="81"/>
      <c r="G17" s="80" t="s">
        <v>70</v>
      </c>
      <c r="H17" s="80"/>
      <c r="I17" s="80" t="s">
        <v>69</v>
      </c>
      <c r="J17" s="80"/>
      <c r="K17" s="28"/>
      <c r="L17" s="28"/>
    </row>
    <row r="18" spans="1:12" ht="15" x14ac:dyDescent="0.25">
      <c r="A18" s="28"/>
      <c r="B18" s="28"/>
      <c r="C18" s="79" t="s">
        <v>68</v>
      </c>
      <c r="D18" s="79"/>
      <c r="E18" s="79"/>
      <c r="F18" s="79"/>
      <c r="G18" s="76">
        <f>SUM(O1:O108)/1000</f>
        <v>221.47</v>
      </c>
      <c r="H18" s="76"/>
      <c r="I18" s="76">
        <f>(Source!F195/1000)</f>
        <v>415.553</v>
      </c>
      <c r="J18" s="76"/>
      <c r="K18" s="78" t="s">
        <v>10</v>
      </c>
      <c r="L18" s="78"/>
    </row>
    <row r="19" spans="1:12" ht="14.25" x14ac:dyDescent="0.2">
      <c r="A19" s="28"/>
      <c r="B19" s="28"/>
      <c r="C19" s="77" t="s">
        <v>67</v>
      </c>
      <c r="D19" s="77"/>
      <c r="E19" s="77"/>
      <c r="F19" s="77"/>
      <c r="G19" s="76">
        <f>SUM(W1:W108)/1000</f>
        <v>0</v>
      </c>
      <c r="H19" s="76"/>
      <c r="I19" s="76">
        <f>(Source!F184)/1000</f>
        <v>0</v>
      </c>
      <c r="J19" s="76"/>
      <c r="K19" s="78" t="s">
        <v>10</v>
      </c>
      <c r="L19" s="78"/>
    </row>
    <row r="20" spans="1:12" ht="14.25" x14ac:dyDescent="0.2">
      <c r="A20" s="28"/>
      <c r="B20" s="28"/>
      <c r="C20" s="77" t="s">
        <v>66</v>
      </c>
      <c r="D20" s="77"/>
      <c r="E20" s="77"/>
      <c r="F20" s="77"/>
      <c r="G20" s="76">
        <f>SUM(X1:X108)/1000</f>
        <v>0.77500000000000002</v>
      </c>
      <c r="H20" s="76"/>
      <c r="I20" s="76">
        <f>(Source!F185)/1000</f>
        <v>13.356999999999999</v>
      </c>
      <c r="J20" s="76"/>
      <c r="K20" s="78" t="s">
        <v>10</v>
      </c>
      <c r="L20" s="78"/>
    </row>
    <row r="21" spans="1:12" ht="14.25" x14ac:dyDescent="0.2">
      <c r="A21" s="28"/>
      <c r="B21" s="28"/>
      <c r="C21" s="77" t="s">
        <v>65</v>
      </c>
      <c r="D21" s="77"/>
      <c r="E21" s="77"/>
      <c r="F21" s="77"/>
      <c r="G21" s="76">
        <f>SUM(Y1:Y108)/1000</f>
        <v>213.80500000000001</v>
      </c>
      <c r="H21" s="76"/>
      <c r="I21" s="76">
        <f>(Source!F176)/1000</f>
        <v>213.80500000000001</v>
      </c>
      <c r="J21" s="76"/>
      <c r="K21" s="78" t="s">
        <v>10</v>
      </c>
      <c r="L21" s="78"/>
    </row>
    <row r="22" spans="1:12" ht="14.25" x14ac:dyDescent="0.2">
      <c r="A22" s="28"/>
      <c r="B22" s="28"/>
      <c r="C22" s="77" t="s">
        <v>64</v>
      </c>
      <c r="D22" s="77"/>
      <c r="E22" s="77"/>
      <c r="F22" s="77"/>
      <c r="G22" s="76">
        <f>SUM(Z1:Z108)/1000</f>
        <v>6.89</v>
      </c>
      <c r="H22" s="76"/>
      <c r="I22" s="76">
        <f>(Source!F186+Source!F187)/1000</f>
        <v>188.39099999999999</v>
      </c>
      <c r="J22" s="76"/>
      <c r="K22" s="78" t="s">
        <v>10</v>
      </c>
      <c r="L22" s="78"/>
    </row>
    <row r="23" spans="1:12" ht="15" x14ac:dyDescent="0.25">
      <c r="A23" s="28"/>
      <c r="B23" s="28"/>
      <c r="C23" s="79" t="s">
        <v>63</v>
      </c>
      <c r="D23" s="79"/>
      <c r="E23" s="79"/>
      <c r="F23" s="79"/>
      <c r="G23" s="76">
        <f>I23</f>
        <v>257.29410000000001</v>
      </c>
      <c r="H23" s="76"/>
      <c r="I23" s="76">
        <f>(Source!F189+Source!F190)</f>
        <v>257.29410000000001</v>
      </c>
      <c r="J23" s="76"/>
      <c r="K23" s="78" t="s">
        <v>62</v>
      </c>
      <c r="L23" s="78"/>
    </row>
    <row r="24" spans="1:12" ht="15" x14ac:dyDescent="0.25">
      <c r="A24" s="28"/>
      <c r="B24" s="28"/>
      <c r="C24" s="79" t="s">
        <v>61</v>
      </c>
      <c r="D24" s="79"/>
      <c r="E24" s="79"/>
      <c r="F24" s="79"/>
      <c r="G24" s="76">
        <f>SUM(R1:R108)/1000</f>
        <v>3.4430000000000001</v>
      </c>
      <c r="H24" s="76"/>
      <c r="I24" s="76">
        <f>(Source!F182+ Source!F181)/1000</f>
        <v>94.096000000000004</v>
      </c>
      <c r="J24" s="76"/>
      <c r="K24" s="78" t="s">
        <v>10</v>
      </c>
      <c r="L24" s="78"/>
    </row>
    <row r="25" spans="1:12" ht="14.25" hidden="1" x14ac:dyDescent="0.2">
      <c r="A25" s="28"/>
      <c r="B25" s="28"/>
      <c r="C25" s="77" t="s">
        <v>60</v>
      </c>
      <c r="D25" s="77"/>
      <c r="E25" s="77"/>
      <c r="F25" s="77"/>
      <c r="G25" s="76"/>
      <c r="H25" s="76"/>
      <c r="I25" s="76"/>
      <c r="J25" s="76"/>
      <c r="K25" s="60" t="s">
        <v>10</v>
      </c>
      <c r="L25" s="28"/>
    </row>
    <row r="26" spans="1:12" ht="15" x14ac:dyDescent="0.25">
      <c r="A26" s="28"/>
      <c r="B26" s="28"/>
      <c r="C26" s="75"/>
      <c r="D26" s="75"/>
      <c r="E26" s="75"/>
      <c r="F26" s="73"/>
      <c r="G26" s="74"/>
      <c r="H26" s="74"/>
      <c r="I26" s="74"/>
      <c r="J26" s="74"/>
      <c r="K26" s="74"/>
      <c r="L26" s="74"/>
    </row>
    <row r="27" spans="1:12" ht="15" hidden="1" x14ac:dyDescent="0.2">
      <c r="A27" s="73" t="s">
        <v>59</v>
      </c>
      <c r="B27" s="28"/>
      <c r="C27" s="28"/>
      <c r="D27" s="72"/>
      <c r="E27" s="28"/>
      <c r="F27" s="28"/>
      <c r="G27" s="70"/>
      <c r="H27" s="70"/>
      <c r="I27" s="71"/>
      <c r="J27" s="70"/>
      <c r="K27" s="70"/>
      <c r="L27" s="70"/>
    </row>
    <row r="28" spans="1:12" ht="15" hidden="1" x14ac:dyDescent="0.2">
      <c r="A28" s="73" t="s">
        <v>58</v>
      </c>
      <c r="B28" s="28"/>
      <c r="C28" s="28"/>
      <c r="D28" s="72"/>
      <c r="E28" s="28"/>
      <c r="F28" s="28"/>
      <c r="G28" s="70"/>
      <c r="H28" s="70"/>
      <c r="I28" s="71"/>
      <c r="J28" s="70"/>
      <c r="K28" s="70"/>
      <c r="L28" s="70"/>
    </row>
    <row r="29" spans="1:12" ht="15" hidden="1" x14ac:dyDescent="0.2">
      <c r="A29" s="28"/>
      <c r="B29" s="28"/>
      <c r="C29" s="30"/>
      <c r="D29" s="30"/>
      <c r="E29" s="30"/>
      <c r="F29" s="30"/>
      <c r="G29" s="70"/>
      <c r="H29" s="70"/>
      <c r="I29" s="71"/>
      <c r="J29" s="70"/>
      <c r="K29" s="70"/>
      <c r="L29" s="70"/>
    </row>
    <row r="30" spans="1:12" ht="14.25" x14ac:dyDescent="0.2">
      <c r="A30" s="69" t="s">
        <v>57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</row>
    <row r="31" spans="1:12" ht="57" x14ac:dyDescent="0.2">
      <c r="A31" s="68" t="s">
        <v>5</v>
      </c>
      <c r="B31" s="68" t="s">
        <v>56</v>
      </c>
      <c r="C31" s="68" t="s">
        <v>55</v>
      </c>
      <c r="D31" s="68" t="s">
        <v>54</v>
      </c>
      <c r="E31" s="68" t="s">
        <v>53</v>
      </c>
      <c r="F31" s="68" t="s">
        <v>52</v>
      </c>
      <c r="G31" s="68" t="s">
        <v>51</v>
      </c>
      <c r="H31" s="68" t="s">
        <v>50</v>
      </c>
      <c r="I31" s="68" t="s">
        <v>49</v>
      </c>
      <c r="J31" s="68" t="s">
        <v>48</v>
      </c>
      <c r="K31" s="68" t="s">
        <v>47</v>
      </c>
      <c r="L31" s="68" t="s">
        <v>46</v>
      </c>
    </row>
    <row r="32" spans="1:12" ht="14.25" x14ac:dyDescent="0.2">
      <c r="A32" s="67">
        <v>1</v>
      </c>
      <c r="B32" s="67">
        <v>2</v>
      </c>
      <c r="C32" s="67">
        <v>3</v>
      </c>
      <c r="D32" s="67">
        <v>4</v>
      </c>
      <c r="E32" s="67">
        <v>5</v>
      </c>
      <c r="F32" s="67">
        <v>6</v>
      </c>
      <c r="G32" s="67">
        <v>7</v>
      </c>
      <c r="H32" s="67">
        <v>8</v>
      </c>
      <c r="I32" s="67">
        <v>9</v>
      </c>
      <c r="J32" s="67">
        <v>10</v>
      </c>
      <c r="K32" s="67">
        <v>11</v>
      </c>
      <c r="L32" s="66">
        <v>12</v>
      </c>
    </row>
    <row r="34" spans="1:26" ht="16.5" x14ac:dyDescent="0.25">
      <c r="A34" s="62" t="str">
        <f>CONCATENATE("Локальная смета: ",IF(Source!G20&lt;&gt;"Новая локальная смета", Source!G20, ""))</f>
        <v xml:space="preserve">Локальная смета: 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</row>
    <row r="36" spans="1:26" ht="16.5" x14ac:dyDescent="0.25">
      <c r="A36" s="62" t="str">
        <f>CONCATENATE("Раздел: ",IF(Source!G24&lt;&gt;"Новый раздел", Source!G24, ""))</f>
        <v>Раздел: Монтажные работы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</row>
    <row r="37" spans="1:26" ht="28.5" x14ac:dyDescent="0.2">
      <c r="A37" s="60" t="str">
        <f>Source!E28</f>
        <v>1</v>
      </c>
      <c r="B37" s="59" t="str">
        <f>Source!F28</f>
        <v>м11-01-001-1</v>
      </c>
      <c r="C37" s="59" t="str">
        <f>Source!G28</f>
        <v>Конструкции для установки приборов, масса до 1 кг</v>
      </c>
      <c r="D37" s="58" t="str">
        <f>Source!H28</f>
        <v>шт.</v>
      </c>
      <c r="E37" s="30">
        <f>Source!I28</f>
        <v>1</v>
      </c>
      <c r="F37" s="61">
        <f>Source!AL28+Source!AM28+Source!AO28</f>
        <v>33.82</v>
      </c>
      <c r="G37" s="56"/>
      <c r="H37" s="53"/>
      <c r="I37" s="56" t="str">
        <f>Source!BO28</f>
        <v/>
      </c>
      <c r="J37" s="56"/>
      <c r="K37" s="53"/>
      <c r="L37" s="52"/>
      <c r="S37" s="27">
        <f>ROUND((Source!FX28/100)*((ROUND(Source!AF28*Source!I28, 0)+ROUND(Source!AE28*Source!I28, 0))), 0)</f>
        <v>5</v>
      </c>
      <c r="T37" s="27">
        <f>Source!X28</f>
        <v>126</v>
      </c>
      <c r="U37" s="27">
        <f>ROUND((Source!FY28/100)*((ROUND(Source!AF28*Source!I28, 0)+ROUND(Source!AE28*Source!I28, 0))), 0)</f>
        <v>3</v>
      </c>
      <c r="V37" s="27">
        <f>Source!Y28</f>
        <v>64</v>
      </c>
    </row>
    <row r="38" spans="1:26" ht="14.25" x14ac:dyDescent="0.2">
      <c r="A38" s="60"/>
      <c r="B38" s="59"/>
      <c r="C38" s="59" t="s">
        <v>41</v>
      </c>
      <c r="D38" s="58"/>
      <c r="E38" s="30"/>
      <c r="F38" s="61">
        <f>Source!AO28</f>
        <v>4.54</v>
      </c>
      <c r="G38" s="56" t="str">
        <f>Source!DG28</f>
        <v/>
      </c>
      <c r="H38" s="53">
        <f>ROUND(Source!AF28*Source!I28, 0)</f>
        <v>5</v>
      </c>
      <c r="I38" s="56"/>
      <c r="J38" s="56">
        <f>IF(Source!BA28&lt;&gt; 0, Source!BA28, 1)</f>
        <v>27.34</v>
      </c>
      <c r="K38" s="53">
        <f>Source!S28</f>
        <v>124</v>
      </c>
      <c r="L38" s="52"/>
      <c r="R38" s="27">
        <f>H38</f>
        <v>5</v>
      </c>
    </row>
    <row r="39" spans="1:26" ht="14.25" x14ac:dyDescent="0.2">
      <c r="A39" s="60"/>
      <c r="B39" s="59"/>
      <c r="C39" s="59" t="s">
        <v>44</v>
      </c>
      <c r="D39" s="58"/>
      <c r="E39" s="30"/>
      <c r="F39" s="61">
        <f>Source!AM28</f>
        <v>6.08</v>
      </c>
      <c r="G39" s="56" t="str">
        <f>Source!DE28</f>
        <v/>
      </c>
      <c r="H39" s="53">
        <f>ROUND(Source!AD28*Source!I28, 0)</f>
        <v>6</v>
      </c>
      <c r="I39" s="56"/>
      <c r="J39" s="56">
        <f>IF(Source!BB28&lt;&gt; 0, Source!BB28, 1)</f>
        <v>9.32</v>
      </c>
      <c r="K39" s="53">
        <f>Source!Q28</f>
        <v>57</v>
      </c>
      <c r="L39" s="52"/>
    </row>
    <row r="40" spans="1:26" ht="14.25" x14ac:dyDescent="0.2">
      <c r="A40" s="60"/>
      <c r="B40" s="59"/>
      <c r="C40" s="59" t="s">
        <v>45</v>
      </c>
      <c r="D40" s="58"/>
      <c r="E40" s="30"/>
      <c r="F40" s="61">
        <f>Source!AN28</f>
        <v>0.6</v>
      </c>
      <c r="G40" s="56" t="str">
        <f>Source!DF28</f>
        <v/>
      </c>
      <c r="H40" s="65">
        <f>ROUND(Source!AE28*Source!I28, 0)</f>
        <v>1</v>
      </c>
      <c r="I40" s="56"/>
      <c r="J40" s="56">
        <f>IF(Source!BS28&lt;&gt; 0, Source!BS28, 1)</f>
        <v>27.34</v>
      </c>
      <c r="K40" s="65">
        <f>Source!R28</f>
        <v>16</v>
      </c>
      <c r="L40" s="52"/>
      <c r="R40" s="27">
        <f>H40</f>
        <v>1</v>
      </c>
    </row>
    <row r="41" spans="1:26" ht="14.25" x14ac:dyDescent="0.2">
      <c r="A41" s="60"/>
      <c r="B41" s="59"/>
      <c r="C41" s="59" t="s">
        <v>43</v>
      </c>
      <c r="D41" s="58"/>
      <c r="E41" s="30"/>
      <c r="F41" s="61">
        <f>Source!AL28</f>
        <v>23.2</v>
      </c>
      <c r="G41" s="56" t="str">
        <f>Source!DD28</f>
        <v/>
      </c>
      <c r="H41" s="53">
        <f>ROUND(Source!AC28*Source!I28, 0)</f>
        <v>23</v>
      </c>
      <c r="I41" s="56"/>
      <c r="J41" s="56">
        <f>IF(Source!BC28&lt;&gt; 0, Source!BC28, 1)</f>
        <v>6.66</v>
      </c>
      <c r="K41" s="53">
        <f>Source!P28</f>
        <v>155</v>
      </c>
      <c r="L41" s="52"/>
    </row>
    <row r="42" spans="1:26" ht="14.25" x14ac:dyDescent="0.2">
      <c r="A42" s="60"/>
      <c r="B42" s="59"/>
      <c r="C42" s="59" t="s">
        <v>40</v>
      </c>
      <c r="D42" s="58" t="s">
        <v>38</v>
      </c>
      <c r="E42" s="30">
        <f>Source!BZ28</f>
        <v>90</v>
      </c>
      <c r="F42" s="57"/>
      <c r="G42" s="56"/>
      <c r="H42" s="53">
        <f>SUM(S37:S44)</f>
        <v>5</v>
      </c>
      <c r="I42" s="55"/>
      <c r="J42" s="54">
        <f>Source!AT28</f>
        <v>90</v>
      </c>
      <c r="K42" s="53">
        <f>SUM(T37:T44)</f>
        <v>126</v>
      </c>
      <c r="L42" s="52"/>
    </row>
    <row r="43" spans="1:26" ht="14.25" x14ac:dyDescent="0.2">
      <c r="A43" s="60"/>
      <c r="B43" s="59"/>
      <c r="C43" s="59" t="s">
        <v>39</v>
      </c>
      <c r="D43" s="58" t="s">
        <v>38</v>
      </c>
      <c r="E43" s="30">
        <f>Source!CA28</f>
        <v>46</v>
      </c>
      <c r="F43" s="57"/>
      <c r="G43" s="56"/>
      <c r="H43" s="53">
        <f>SUM(U37:U44)</f>
        <v>3</v>
      </c>
      <c r="I43" s="55"/>
      <c r="J43" s="54">
        <f>Source!AU28</f>
        <v>46</v>
      </c>
      <c r="K43" s="53">
        <f>SUM(V37:V44)</f>
        <v>64</v>
      </c>
      <c r="L43" s="52"/>
    </row>
    <row r="44" spans="1:26" ht="14.25" x14ac:dyDescent="0.2">
      <c r="A44" s="51"/>
      <c r="B44" s="50"/>
      <c r="C44" s="50" t="s">
        <v>37</v>
      </c>
      <c r="D44" s="49" t="s">
        <v>36</v>
      </c>
      <c r="E44" s="48">
        <f>Source!AQ28</f>
        <v>0.52</v>
      </c>
      <c r="F44" s="47"/>
      <c r="G44" s="46" t="str">
        <f>Source!DI28</f>
        <v/>
      </c>
      <c r="H44" s="45"/>
      <c r="I44" s="46"/>
      <c r="J44" s="46"/>
      <c r="K44" s="45"/>
      <c r="L44" s="44">
        <f>Source!U28</f>
        <v>0.52</v>
      </c>
    </row>
    <row r="45" spans="1:26" ht="15" x14ac:dyDescent="0.25">
      <c r="G45" s="43">
        <f>H38+H39+H41+H42+H43</f>
        <v>42</v>
      </c>
      <c r="H45" s="43"/>
      <c r="J45" s="43">
        <f>K38+K39+K41+K42+K43</f>
        <v>526</v>
      </c>
      <c r="K45" s="43"/>
      <c r="L45" s="38">
        <f>Source!U28</f>
        <v>0.52</v>
      </c>
      <c r="O45" s="42">
        <f>G45</f>
        <v>42</v>
      </c>
      <c r="P45" s="42">
        <f>J45</f>
        <v>526</v>
      </c>
      <c r="Q45" s="41">
        <f>L45</f>
        <v>0.52</v>
      </c>
      <c r="W45" s="27">
        <f>IF(Source!BI28&lt;=1,H38+H39+H41+H42+H43, 0)</f>
        <v>0</v>
      </c>
      <c r="X45" s="27">
        <f>IF(Source!BI28=2,H38+H39+H41+H42+H43, 0)</f>
        <v>42</v>
      </c>
      <c r="Y45" s="27">
        <f>IF(Source!BI28=3,H38+H39+H41+H42+H43, 0)</f>
        <v>0</v>
      </c>
      <c r="Z45" s="27">
        <f>IF(Source!BI28=4,H38+H39+H41+H42+H43, 0)</f>
        <v>0</v>
      </c>
    </row>
    <row r="46" spans="1:26" ht="28.5" x14ac:dyDescent="0.2">
      <c r="A46" s="60" t="str">
        <f>Source!E29</f>
        <v>2</v>
      </c>
      <c r="B46" s="59" t="str">
        <f>Source!F29</f>
        <v>м11-04-008-01</v>
      </c>
      <c r="C46" s="59" t="str">
        <f>Source!G29</f>
        <v>Съемные и выдвижные блоки (модули, ячейки, ТЭЗ), масса: до 5 кг</v>
      </c>
      <c r="D46" s="58" t="str">
        <f>Source!H29</f>
        <v>ШТ</v>
      </c>
      <c r="E46" s="30">
        <f>Source!I29</f>
        <v>1</v>
      </c>
      <c r="F46" s="61">
        <f>Source!AL29+Source!AM29+Source!AO29</f>
        <v>9.74</v>
      </c>
      <c r="G46" s="56"/>
      <c r="H46" s="53"/>
      <c r="I46" s="56" t="str">
        <f>Source!BO29</f>
        <v/>
      </c>
      <c r="J46" s="56"/>
      <c r="K46" s="53"/>
      <c r="L46" s="52"/>
      <c r="S46" s="27">
        <f>ROUND((Source!FX29/100)*((ROUND(Source!AF29*Source!I29, 0)+ROUND(Source!AE29*Source!I29, 0))), 0)</f>
        <v>8</v>
      </c>
      <c r="T46" s="27">
        <f>Source!X29</f>
        <v>221</v>
      </c>
      <c r="U46" s="27">
        <f>ROUND((Source!FY29/100)*((ROUND(Source!AF29*Source!I29, 0)+ROUND(Source!AE29*Source!I29, 0))), 0)</f>
        <v>4</v>
      </c>
      <c r="V46" s="27">
        <f>Source!Y29</f>
        <v>113</v>
      </c>
    </row>
    <row r="47" spans="1:26" ht="14.25" x14ac:dyDescent="0.2">
      <c r="A47" s="60"/>
      <c r="B47" s="59"/>
      <c r="C47" s="59" t="s">
        <v>41</v>
      </c>
      <c r="D47" s="58"/>
      <c r="E47" s="30"/>
      <c r="F47" s="61">
        <f>Source!AO29</f>
        <v>8.9</v>
      </c>
      <c r="G47" s="56" t="str">
        <f>Source!DG29</f>
        <v/>
      </c>
      <c r="H47" s="53">
        <f>ROUND(Source!AF29*Source!I29, 0)</f>
        <v>9</v>
      </c>
      <c r="I47" s="56"/>
      <c r="J47" s="56">
        <f>IF(Source!BA29&lt;&gt; 0, Source!BA29, 1)</f>
        <v>27.34</v>
      </c>
      <c r="K47" s="53">
        <f>Source!S29</f>
        <v>243</v>
      </c>
      <c r="L47" s="52"/>
      <c r="R47" s="27">
        <f>H47</f>
        <v>9</v>
      </c>
    </row>
    <row r="48" spans="1:26" ht="14.25" x14ac:dyDescent="0.2">
      <c r="A48" s="60"/>
      <c r="B48" s="59"/>
      <c r="C48" s="59" t="s">
        <v>44</v>
      </c>
      <c r="D48" s="58"/>
      <c r="E48" s="30"/>
      <c r="F48" s="61">
        <f>Source!AM29</f>
        <v>0.66</v>
      </c>
      <c r="G48" s="56" t="str">
        <f>Source!DE29</f>
        <v/>
      </c>
      <c r="H48" s="53">
        <f>ROUND(Source!AD29*Source!I29, 0)</f>
        <v>1</v>
      </c>
      <c r="I48" s="56"/>
      <c r="J48" s="56">
        <f>IF(Source!BB29&lt;&gt; 0, Source!BB29, 1)</f>
        <v>9.32</v>
      </c>
      <c r="K48" s="53">
        <f>Source!Q29</f>
        <v>6</v>
      </c>
      <c r="L48" s="52"/>
    </row>
    <row r="49" spans="1:26" ht="14.25" x14ac:dyDescent="0.2">
      <c r="A49" s="60"/>
      <c r="B49" s="59"/>
      <c r="C49" s="59" t="s">
        <v>45</v>
      </c>
      <c r="D49" s="58"/>
      <c r="E49" s="30"/>
      <c r="F49" s="61">
        <f>Source!AN29</f>
        <v>0.12</v>
      </c>
      <c r="G49" s="56" t="str">
        <f>Source!DF29</f>
        <v/>
      </c>
      <c r="H49" s="65">
        <f>ROUND(Source!AE29*Source!I29, 0)</f>
        <v>0</v>
      </c>
      <c r="I49" s="56"/>
      <c r="J49" s="56">
        <f>IF(Source!BS29&lt;&gt; 0, Source!BS29, 1)</f>
        <v>27.34</v>
      </c>
      <c r="K49" s="65">
        <f>Source!R29</f>
        <v>3</v>
      </c>
      <c r="L49" s="52"/>
      <c r="R49" s="27">
        <f>H49</f>
        <v>0</v>
      </c>
    </row>
    <row r="50" spans="1:26" ht="14.25" x14ac:dyDescent="0.2">
      <c r="A50" s="60"/>
      <c r="B50" s="59"/>
      <c r="C50" s="59" t="s">
        <v>43</v>
      </c>
      <c r="D50" s="58"/>
      <c r="E50" s="30"/>
      <c r="F50" s="61">
        <f>Source!AL29</f>
        <v>0.18</v>
      </c>
      <c r="G50" s="56" t="str">
        <f>Source!DD29</f>
        <v/>
      </c>
      <c r="H50" s="53">
        <f>ROUND(Source!AC29*Source!I29, 0)</f>
        <v>0</v>
      </c>
      <c r="I50" s="56"/>
      <c r="J50" s="56">
        <f>IF(Source!BC29&lt;&gt; 0, Source!BC29, 1)</f>
        <v>6.66</v>
      </c>
      <c r="K50" s="53">
        <f>Source!P29</f>
        <v>1</v>
      </c>
      <c r="L50" s="52"/>
    </row>
    <row r="51" spans="1:26" ht="14.25" x14ac:dyDescent="0.2">
      <c r="A51" s="60"/>
      <c r="B51" s="59"/>
      <c r="C51" s="59" t="s">
        <v>40</v>
      </c>
      <c r="D51" s="58" t="s">
        <v>38</v>
      </c>
      <c r="E51" s="30">
        <f>Source!BZ29</f>
        <v>90</v>
      </c>
      <c r="F51" s="57"/>
      <c r="G51" s="56"/>
      <c r="H51" s="53">
        <f>SUM(S46:S53)</f>
        <v>8</v>
      </c>
      <c r="I51" s="55"/>
      <c r="J51" s="54">
        <f>Source!AT29</f>
        <v>90</v>
      </c>
      <c r="K51" s="53">
        <f>SUM(T46:T53)</f>
        <v>221</v>
      </c>
      <c r="L51" s="52"/>
    </row>
    <row r="52" spans="1:26" ht="14.25" x14ac:dyDescent="0.2">
      <c r="A52" s="60"/>
      <c r="B52" s="59"/>
      <c r="C52" s="59" t="s">
        <v>39</v>
      </c>
      <c r="D52" s="58" t="s">
        <v>38</v>
      </c>
      <c r="E52" s="30">
        <f>Source!CA29</f>
        <v>46</v>
      </c>
      <c r="F52" s="57"/>
      <c r="G52" s="56"/>
      <c r="H52" s="53">
        <f>SUM(U46:U53)</f>
        <v>4</v>
      </c>
      <c r="I52" s="55"/>
      <c r="J52" s="54">
        <f>Source!AU29</f>
        <v>46</v>
      </c>
      <c r="K52" s="53">
        <f>SUM(V46:V53)</f>
        <v>113</v>
      </c>
      <c r="L52" s="52"/>
    </row>
    <row r="53" spans="1:26" ht="14.25" x14ac:dyDescent="0.2">
      <c r="A53" s="51"/>
      <c r="B53" s="50"/>
      <c r="C53" s="50" t="s">
        <v>37</v>
      </c>
      <c r="D53" s="49" t="s">
        <v>36</v>
      </c>
      <c r="E53" s="48">
        <f>Source!AQ29</f>
        <v>1.03</v>
      </c>
      <c r="F53" s="47"/>
      <c r="G53" s="46" t="str">
        <f>Source!DI29</f>
        <v/>
      </c>
      <c r="H53" s="45"/>
      <c r="I53" s="46"/>
      <c r="J53" s="46"/>
      <c r="K53" s="45"/>
      <c r="L53" s="44">
        <f>Source!U29</f>
        <v>1.03</v>
      </c>
    </row>
    <row r="54" spans="1:26" ht="15" x14ac:dyDescent="0.25">
      <c r="G54" s="43">
        <f>H47+H48+H50+H51+H52</f>
        <v>22</v>
      </c>
      <c r="H54" s="43"/>
      <c r="J54" s="43">
        <f>K47+K48+K50+K51+K52</f>
        <v>584</v>
      </c>
      <c r="K54" s="43"/>
      <c r="L54" s="38">
        <f>Source!U29</f>
        <v>1.03</v>
      </c>
      <c r="O54" s="42">
        <f>G54</f>
        <v>22</v>
      </c>
      <c r="P54" s="42">
        <f>J54</f>
        <v>584</v>
      </c>
      <c r="Q54" s="41">
        <f>L54</f>
        <v>1.03</v>
      </c>
      <c r="W54" s="27">
        <f>IF(Source!BI29&lt;=1,H47+H48+H50+H51+H52, 0)</f>
        <v>0</v>
      </c>
      <c r="X54" s="27">
        <f>IF(Source!BI29=2,H47+H48+H50+H51+H52, 0)</f>
        <v>22</v>
      </c>
      <c r="Y54" s="27">
        <f>IF(Source!BI29=3,H47+H48+H50+H51+H52, 0)</f>
        <v>0</v>
      </c>
      <c r="Z54" s="27">
        <f>IF(Source!BI29=4,H47+H48+H50+H51+H52, 0)</f>
        <v>0</v>
      </c>
    </row>
    <row r="55" spans="1:26" ht="28.5" x14ac:dyDescent="0.2">
      <c r="A55" s="60" t="str">
        <f>Source!E30</f>
        <v>3</v>
      </c>
      <c r="B55" s="59" t="str">
        <f>Source!F30</f>
        <v>м10-04-087-02</v>
      </c>
      <c r="C55" s="59" t="str">
        <f>Source!G30</f>
        <v>Устройство антенное развязывающее</v>
      </c>
      <c r="D55" s="58" t="str">
        <f>Source!H30</f>
        <v>ШТ</v>
      </c>
      <c r="E55" s="30">
        <f>Source!I30</f>
        <v>1</v>
      </c>
      <c r="F55" s="61">
        <f>Source!AL30+Source!AM30+Source!AO30</f>
        <v>484.72</v>
      </c>
      <c r="G55" s="56"/>
      <c r="H55" s="53"/>
      <c r="I55" s="56" t="str">
        <f>Source!BO30</f>
        <v/>
      </c>
      <c r="J55" s="56"/>
      <c r="K55" s="53"/>
      <c r="L55" s="52"/>
      <c r="S55" s="27">
        <f>ROUND((Source!FX30/100)*((ROUND(Source!AF30*Source!I30, 0)+ROUND(Source!AE30*Source!I30, 0))), 0)</f>
        <v>135</v>
      </c>
      <c r="T55" s="27">
        <f>Source!X30</f>
        <v>3680</v>
      </c>
      <c r="U55" s="27">
        <f>ROUND((Source!FY30/100)*((ROUND(Source!AF30*Source!I30, 0)+ROUND(Source!AE30*Source!I30, 0))), 0)</f>
        <v>75</v>
      </c>
      <c r="V55" s="27">
        <f>Source!Y30</f>
        <v>2053</v>
      </c>
    </row>
    <row r="56" spans="1:26" ht="14.25" x14ac:dyDescent="0.2">
      <c r="A56" s="60"/>
      <c r="B56" s="59"/>
      <c r="C56" s="59" t="s">
        <v>41</v>
      </c>
      <c r="D56" s="58"/>
      <c r="E56" s="30"/>
      <c r="F56" s="61">
        <f>Source!AO30</f>
        <v>134.68</v>
      </c>
      <c r="G56" s="56" t="str">
        <f>Source!DG30</f>
        <v/>
      </c>
      <c r="H56" s="53">
        <f>ROUND(Source!AF30*Source!I30, 0)</f>
        <v>135</v>
      </c>
      <c r="I56" s="56"/>
      <c r="J56" s="56">
        <f>IF(Source!BA30&lt;&gt; 0, Source!BA30, 1)</f>
        <v>27.34</v>
      </c>
      <c r="K56" s="53">
        <f>Source!S30</f>
        <v>3682</v>
      </c>
      <c r="L56" s="52"/>
      <c r="R56" s="27">
        <f>H56</f>
        <v>135</v>
      </c>
    </row>
    <row r="57" spans="1:26" ht="14.25" x14ac:dyDescent="0.2">
      <c r="A57" s="60"/>
      <c r="B57" s="59"/>
      <c r="C57" s="59" t="s">
        <v>44</v>
      </c>
      <c r="D57" s="58"/>
      <c r="E57" s="30"/>
      <c r="F57" s="61">
        <f>Source!AM30</f>
        <v>62.99</v>
      </c>
      <c r="G57" s="56" t="str">
        <f>Source!DE30</f>
        <v/>
      </c>
      <c r="H57" s="53">
        <f>ROUND(Source!AD30*Source!I30, 0)</f>
        <v>63</v>
      </c>
      <c r="I57" s="56"/>
      <c r="J57" s="56">
        <f>IF(Source!BB30&lt;&gt; 0, Source!BB30, 1)</f>
        <v>9.32</v>
      </c>
      <c r="K57" s="53">
        <f>Source!Q30</f>
        <v>587</v>
      </c>
      <c r="L57" s="52"/>
    </row>
    <row r="58" spans="1:26" ht="14.25" x14ac:dyDescent="0.2">
      <c r="A58" s="60"/>
      <c r="B58" s="59"/>
      <c r="C58" s="59" t="s">
        <v>45</v>
      </c>
      <c r="D58" s="58"/>
      <c r="E58" s="30"/>
      <c r="F58" s="61">
        <f>Source!AN30</f>
        <v>7.04</v>
      </c>
      <c r="G58" s="56" t="str">
        <f>Source!DF30</f>
        <v/>
      </c>
      <c r="H58" s="65">
        <f>ROUND(Source!AE30*Source!I30, 0)</f>
        <v>7</v>
      </c>
      <c r="I58" s="56"/>
      <c r="J58" s="56">
        <f>IF(Source!BS30&lt;&gt; 0, Source!BS30, 1)</f>
        <v>27.34</v>
      </c>
      <c r="K58" s="65">
        <f>Source!R30</f>
        <v>192</v>
      </c>
      <c r="L58" s="52"/>
      <c r="R58" s="27">
        <f>H58</f>
        <v>7</v>
      </c>
    </row>
    <row r="59" spans="1:26" ht="14.25" x14ac:dyDescent="0.2">
      <c r="A59" s="60"/>
      <c r="B59" s="59"/>
      <c r="C59" s="59" t="s">
        <v>43</v>
      </c>
      <c r="D59" s="58"/>
      <c r="E59" s="30"/>
      <c r="F59" s="61">
        <f>Source!AL30</f>
        <v>287.05</v>
      </c>
      <c r="G59" s="56" t="str">
        <f>Source!DD30</f>
        <v/>
      </c>
      <c r="H59" s="53">
        <f>ROUND(Source!AC30*Source!I30, 0)</f>
        <v>287</v>
      </c>
      <c r="I59" s="56"/>
      <c r="J59" s="56">
        <f>IF(Source!BC30&lt;&gt; 0, Source!BC30, 1)</f>
        <v>6.66</v>
      </c>
      <c r="K59" s="53">
        <f>Source!P30</f>
        <v>1912</v>
      </c>
      <c r="L59" s="52"/>
    </row>
    <row r="60" spans="1:26" ht="14.25" x14ac:dyDescent="0.2">
      <c r="A60" s="60"/>
      <c r="B60" s="59"/>
      <c r="C60" s="59" t="s">
        <v>40</v>
      </c>
      <c r="D60" s="58" t="s">
        <v>38</v>
      </c>
      <c r="E60" s="30">
        <f>Source!BZ30</f>
        <v>95</v>
      </c>
      <c r="F60" s="57"/>
      <c r="G60" s="56"/>
      <c r="H60" s="53">
        <f>SUM(S55:S62)</f>
        <v>135</v>
      </c>
      <c r="I60" s="55"/>
      <c r="J60" s="54">
        <f>Source!AT30</f>
        <v>95</v>
      </c>
      <c r="K60" s="53">
        <f>SUM(T55:T62)</f>
        <v>3680</v>
      </c>
      <c r="L60" s="52"/>
    </row>
    <row r="61" spans="1:26" ht="14.25" x14ac:dyDescent="0.2">
      <c r="A61" s="60"/>
      <c r="B61" s="59"/>
      <c r="C61" s="59" t="s">
        <v>39</v>
      </c>
      <c r="D61" s="58" t="s">
        <v>38</v>
      </c>
      <c r="E61" s="30">
        <f>Source!CA30</f>
        <v>53</v>
      </c>
      <c r="F61" s="57"/>
      <c r="G61" s="56"/>
      <c r="H61" s="53">
        <f>SUM(U55:U62)</f>
        <v>75</v>
      </c>
      <c r="I61" s="55"/>
      <c r="J61" s="54">
        <f>Source!AU30</f>
        <v>53</v>
      </c>
      <c r="K61" s="53">
        <f>SUM(V55:V62)</f>
        <v>2053</v>
      </c>
      <c r="L61" s="52"/>
    </row>
    <row r="62" spans="1:26" ht="14.25" x14ac:dyDescent="0.2">
      <c r="A62" s="51"/>
      <c r="B62" s="50"/>
      <c r="C62" s="50" t="s">
        <v>37</v>
      </c>
      <c r="D62" s="49" t="s">
        <v>36</v>
      </c>
      <c r="E62" s="48">
        <f>Source!AQ30</f>
        <v>14</v>
      </c>
      <c r="F62" s="47"/>
      <c r="G62" s="46" t="str">
        <f>Source!DI30</f>
        <v/>
      </c>
      <c r="H62" s="45"/>
      <c r="I62" s="46"/>
      <c r="J62" s="46"/>
      <c r="K62" s="45"/>
      <c r="L62" s="44">
        <f>Source!U30</f>
        <v>14</v>
      </c>
    </row>
    <row r="63" spans="1:26" ht="15" x14ac:dyDescent="0.25">
      <c r="G63" s="43">
        <f>H56+H57+H59+H60+H61</f>
        <v>695</v>
      </c>
      <c r="H63" s="43"/>
      <c r="J63" s="43">
        <f>K56+K57+K59+K60+K61</f>
        <v>11914</v>
      </c>
      <c r="K63" s="43"/>
      <c r="L63" s="38">
        <f>Source!U30</f>
        <v>14</v>
      </c>
      <c r="O63" s="42">
        <f>G63</f>
        <v>695</v>
      </c>
      <c r="P63" s="42">
        <f>J63</f>
        <v>11914</v>
      </c>
      <c r="Q63" s="41">
        <f>L63</f>
        <v>14</v>
      </c>
      <c r="W63" s="27">
        <f>IF(Source!BI30&lt;=1,H56+H57+H59+H60+H61, 0)</f>
        <v>0</v>
      </c>
      <c r="X63" s="27">
        <f>IF(Source!BI30=2,H56+H57+H59+H60+H61, 0)</f>
        <v>695</v>
      </c>
      <c r="Y63" s="27">
        <f>IF(Source!BI30=3,H56+H57+H59+H60+H61, 0)</f>
        <v>0</v>
      </c>
      <c r="Z63" s="27">
        <f>IF(Source!BI30=4,H56+H57+H59+H60+H61, 0)</f>
        <v>0</v>
      </c>
    </row>
    <row r="64" spans="1:26" ht="42.75" x14ac:dyDescent="0.2">
      <c r="A64" s="60" t="str">
        <f>Source!E31</f>
        <v>4</v>
      </c>
      <c r="B64" s="59" t="str">
        <f>Source!F31</f>
        <v>м08-03-574-01</v>
      </c>
      <c r="C64" s="59" t="str">
        <f>Source!G31</f>
        <v>Разводка по устройствам и подключение жил кабелей или проводов сечением: до 10 мм2</v>
      </c>
      <c r="D64" s="58" t="str">
        <f>Source!H31</f>
        <v>100 ШТ</v>
      </c>
      <c r="E64" s="30">
        <f>Source!I31</f>
        <v>0.03</v>
      </c>
      <c r="F64" s="61">
        <f>Source!AL31+Source!AM31+Source!AO31</f>
        <v>253.89999999999998</v>
      </c>
      <c r="G64" s="56"/>
      <c r="H64" s="53"/>
      <c r="I64" s="56" t="str">
        <f>Source!BO31</f>
        <v/>
      </c>
      <c r="J64" s="56"/>
      <c r="K64" s="53"/>
      <c r="L64" s="52"/>
      <c r="S64" s="27">
        <f>ROUND((Source!FX31/100)*((ROUND(Source!AF31*Source!I31, 0)+ROUND(Source!AE31*Source!I31, 0))), 0)</f>
        <v>5</v>
      </c>
      <c r="T64" s="27">
        <f>Source!X31</f>
        <v>122</v>
      </c>
      <c r="U64" s="27">
        <f>ROUND((Source!FY31/100)*((ROUND(Source!AF31*Source!I31, 0)+ROUND(Source!AE31*Source!I31, 0))), 0)</f>
        <v>3</v>
      </c>
      <c r="V64" s="27">
        <f>Source!Y31</f>
        <v>64</v>
      </c>
    </row>
    <row r="65" spans="1:26" x14ac:dyDescent="0.2">
      <c r="C65" s="64" t="str">
        <f>"Объем: "&amp;Source!I31&amp;"=(2+"&amp;"1)/"&amp;"100"</f>
        <v>Объем: 0,03=(2+1)/100</v>
      </c>
    </row>
    <row r="66" spans="1:26" ht="14.25" x14ac:dyDescent="0.2">
      <c r="A66" s="60"/>
      <c r="B66" s="59"/>
      <c r="C66" s="59" t="s">
        <v>41</v>
      </c>
      <c r="D66" s="58"/>
      <c r="E66" s="30"/>
      <c r="F66" s="61">
        <f>Source!AO31</f>
        <v>153.26</v>
      </c>
      <c r="G66" s="56" t="str">
        <f>Source!DG31</f>
        <v/>
      </c>
      <c r="H66" s="53">
        <f>ROUND(Source!AF31*Source!I31, 0)</f>
        <v>5</v>
      </c>
      <c r="I66" s="56"/>
      <c r="J66" s="56">
        <f>IF(Source!BA31&lt;&gt; 0, Source!BA31, 1)</f>
        <v>27.34</v>
      </c>
      <c r="K66" s="53">
        <f>Source!S31</f>
        <v>126</v>
      </c>
      <c r="L66" s="52"/>
      <c r="R66" s="27">
        <f>H66</f>
        <v>5</v>
      </c>
    </row>
    <row r="67" spans="1:26" ht="14.25" x14ac:dyDescent="0.2">
      <c r="A67" s="60"/>
      <c r="B67" s="59"/>
      <c r="C67" s="59" t="s">
        <v>44</v>
      </c>
      <c r="D67" s="58"/>
      <c r="E67" s="30"/>
      <c r="F67" s="61">
        <f>Source!AM31</f>
        <v>1.81</v>
      </c>
      <c r="G67" s="56" t="str">
        <f>Source!DE31</f>
        <v/>
      </c>
      <c r="H67" s="53">
        <f>ROUND(Source!AD31*Source!I31, 0)</f>
        <v>0</v>
      </c>
      <c r="I67" s="56"/>
      <c r="J67" s="56">
        <f>IF(Source!BB31&lt;&gt; 0, Source!BB31, 1)</f>
        <v>9.32</v>
      </c>
      <c r="K67" s="53">
        <f>Source!Q31</f>
        <v>1</v>
      </c>
      <c r="L67" s="52"/>
    </row>
    <row r="68" spans="1:26" ht="14.25" x14ac:dyDescent="0.2">
      <c r="A68" s="60"/>
      <c r="B68" s="59"/>
      <c r="C68" s="59" t="s">
        <v>43</v>
      </c>
      <c r="D68" s="58"/>
      <c r="E68" s="30"/>
      <c r="F68" s="61">
        <f>Source!AL31</f>
        <v>98.83</v>
      </c>
      <c r="G68" s="56" t="str">
        <f>Source!DD31</f>
        <v/>
      </c>
      <c r="H68" s="53">
        <f>ROUND(Source!AC31*Source!I31, 0)</f>
        <v>3</v>
      </c>
      <c r="I68" s="56"/>
      <c r="J68" s="56">
        <f>IF(Source!BC31&lt;&gt; 0, Source!BC31, 1)</f>
        <v>6.66</v>
      </c>
      <c r="K68" s="53">
        <f>Source!P31</f>
        <v>20</v>
      </c>
      <c r="L68" s="52"/>
    </row>
    <row r="69" spans="1:26" ht="14.25" x14ac:dyDescent="0.2">
      <c r="A69" s="60"/>
      <c r="B69" s="59"/>
      <c r="C69" s="59" t="s">
        <v>40</v>
      </c>
      <c r="D69" s="58" t="s">
        <v>38</v>
      </c>
      <c r="E69" s="30">
        <f>Source!BZ31</f>
        <v>97</v>
      </c>
      <c r="F69" s="57"/>
      <c r="G69" s="56"/>
      <c r="H69" s="53">
        <f>SUM(S64:S71)</f>
        <v>5</v>
      </c>
      <c r="I69" s="55"/>
      <c r="J69" s="54">
        <f>Source!AT31</f>
        <v>97</v>
      </c>
      <c r="K69" s="53">
        <f>SUM(T64:T71)</f>
        <v>122</v>
      </c>
      <c r="L69" s="52"/>
    </row>
    <row r="70" spans="1:26" ht="14.25" x14ac:dyDescent="0.2">
      <c r="A70" s="60"/>
      <c r="B70" s="59"/>
      <c r="C70" s="59" t="s">
        <v>39</v>
      </c>
      <c r="D70" s="58" t="s">
        <v>38</v>
      </c>
      <c r="E70" s="30">
        <f>Source!CA31</f>
        <v>51</v>
      </c>
      <c r="F70" s="57"/>
      <c r="G70" s="56"/>
      <c r="H70" s="53">
        <f>SUM(U64:U71)</f>
        <v>3</v>
      </c>
      <c r="I70" s="55"/>
      <c r="J70" s="54">
        <f>Source!AU31</f>
        <v>51</v>
      </c>
      <c r="K70" s="53">
        <f>SUM(V64:V71)</f>
        <v>64</v>
      </c>
      <c r="L70" s="52"/>
    </row>
    <row r="71" spans="1:26" ht="14.25" x14ac:dyDescent="0.2">
      <c r="A71" s="51"/>
      <c r="B71" s="50"/>
      <c r="C71" s="50" t="s">
        <v>37</v>
      </c>
      <c r="D71" s="49" t="s">
        <v>36</v>
      </c>
      <c r="E71" s="48">
        <f>Source!AQ31</f>
        <v>15.45</v>
      </c>
      <c r="F71" s="47"/>
      <c r="G71" s="46" t="str">
        <f>Source!DI31</f>
        <v/>
      </c>
      <c r="H71" s="45"/>
      <c r="I71" s="46"/>
      <c r="J71" s="46"/>
      <c r="K71" s="45"/>
      <c r="L71" s="44">
        <f>Source!U31</f>
        <v>0.46349999999999997</v>
      </c>
    </row>
    <row r="72" spans="1:26" ht="15" x14ac:dyDescent="0.25">
      <c r="G72" s="43">
        <f>H66+H67+H68+H69+H70</f>
        <v>16</v>
      </c>
      <c r="H72" s="43"/>
      <c r="J72" s="43">
        <f>K66+K67+K68+K69+K70</f>
        <v>333</v>
      </c>
      <c r="K72" s="43"/>
      <c r="L72" s="38">
        <f>Source!U31</f>
        <v>0.46349999999999997</v>
      </c>
      <c r="O72" s="42">
        <f>G72</f>
        <v>16</v>
      </c>
      <c r="P72" s="42">
        <f>J72</f>
        <v>333</v>
      </c>
      <c r="Q72" s="41">
        <f>L72</f>
        <v>0.46349999999999997</v>
      </c>
      <c r="W72" s="27">
        <f>IF(Source!BI31&lt;=1,H66+H67+H68+H69+H70, 0)</f>
        <v>0</v>
      </c>
      <c r="X72" s="27">
        <f>IF(Source!BI31=2,H66+H67+H68+H69+H70, 0)</f>
        <v>16</v>
      </c>
      <c r="Y72" s="27">
        <f>IF(Source!BI31=3,H66+H67+H68+H69+H70, 0)</f>
        <v>0</v>
      </c>
      <c r="Z72" s="27">
        <f>IF(Source!BI31=4,H66+H67+H68+H69+H70, 0)</f>
        <v>0</v>
      </c>
    </row>
    <row r="74" spans="1:26" ht="15" x14ac:dyDescent="0.25">
      <c r="A74" s="37" t="str">
        <f>CONCATENATE("Итого по разделу: ",IF(Source!G33&lt;&gt;"Новый раздел", Source!G33, ""))</f>
        <v>Итого по разделу: Монтажные работы</v>
      </c>
      <c r="B74" s="37"/>
      <c r="C74" s="37"/>
      <c r="D74" s="37"/>
      <c r="E74" s="37"/>
      <c r="F74" s="37"/>
      <c r="G74" s="39">
        <f>SUM(O36:O73)</f>
        <v>775</v>
      </c>
      <c r="H74" s="39"/>
      <c r="I74" s="40"/>
      <c r="J74" s="39">
        <f>SUM(P36:P73)</f>
        <v>13357</v>
      </c>
      <c r="K74" s="39"/>
      <c r="L74" s="38">
        <f>SUM(Q36:Q73)</f>
        <v>16.013500000000001</v>
      </c>
    </row>
    <row r="78" spans="1:26" ht="16.5" x14ac:dyDescent="0.25">
      <c r="A78" s="62" t="str">
        <f>CONCATENATE("Раздел: ",IF(Source!G63&lt;&gt;"Новый раздел", Source!G63, ""))</f>
        <v>Раздел: Оборудование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</row>
    <row r="79" spans="1:26" ht="54" x14ac:dyDescent="0.2">
      <c r="A79" s="51" t="str">
        <f>Source!E67</f>
        <v>5</v>
      </c>
      <c r="B79" s="50" t="str">
        <f>Source!F67</f>
        <v>Прайс</v>
      </c>
      <c r="C79" s="50" t="s">
        <v>42</v>
      </c>
      <c r="D79" s="49" t="str">
        <f>Source!H67</f>
        <v>компл.</v>
      </c>
      <c r="E79" s="48">
        <f>Source!I67</f>
        <v>1</v>
      </c>
      <c r="F79" s="47">
        <f>Source!AL67</f>
        <v>213804.53</v>
      </c>
      <c r="G79" s="46" t="str">
        <f>Source!DD67</f>
        <v/>
      </c>
      <c r="H79" s="45">
        <f>ROUND(Source!AC67*Source!I67, 0)</f>
        <v>213805</v>
      </c>
      <c r="I79" s="46" t="str">
        <f>Source!BO67</f>
        <v/>
      </c>
      <c r="J79" s="46">
        <f>IF(Source!BC67&lt;&gt; 0, Source!BC67, 1)</f>
        <v>0.71</v>
      </c>
      <c r="K79" s="45">
        <f>Source!P67</f>
        <v>213805</v>
      </c>
      <c r="L79" s="63"/>
      <c r="S79" s="27">
        <f>ROUND((Source!FX67/100)*((ROUND(Source!AF67*Source!I67, 0)+ROUND(Source!AE67*Source!I67, 0))), 0)</f>
        <v>0</v>
      </c>
      <c r="T79" s="27">
        <f>Source!X67</f>
        <v>0</v>
      </c>
      <c r="U79" s="27">
        <f>ROUND((Source!FY67/100)*((ROUND(Source!AF67*Source!I67, 0)+ROUND(Source!AE67*Source!I67, 0))), 0)</f>
        <v>0</v>
      </c>
      <c r="V79" s="27">
        <f>Source!Y67</f>
        <v>0</v>
      </c>
    </row>
    <row r="80" spans="1:26" ht="15" x14ac:dyDescent="0.25">
      <c r="G80" s="43">
        <f>H79</f>
        <v>213805</v>
      </c>
      <c r="H80" s="43"/>
      <c r="J80" s="43">
        <f>K79</f>
        <v>213805</v>
      </c>
      <c r="K80" s="43"/>
      <c r="L80" s="38">
        <f>Source!U67</f>
        <v>0</v>
      </c>
      <c r="O80" s="42">
        <f>G80</f>
        <v>213805</v>
      </c>
      <c r="P80" s="42">
        <f>J80</f>
        <v>213805</v>
      </c>
      <c r="Q80" s="41">
        <f>L80</f>
        <v>0</v>
      </c>
      <c r="W80" s="27">
        <f>IF(Source!BI67&lt;=1,H79, 0)</f>
        <v>0</v>
      </c>
      <c r="X80" s="27">
        <f>IF(Source!BI67=2,H79, 0)</f>
        <v>0</v>
      </c>
      <c r="Y80" s="27">
        <f>IF(Source!BI67=3,H79, 0)</f>
        <v>213805</v>
      </c>
      <c r="Z80" s="27">
        <f>IF(Source!BI67=4,H79, 0)</f>
        <v>0</v>
      </c>
    </row>
    <row r="82" spans="1:26" ht="15" x14ac:dyDescent="0.25">
      <c r="A82" s="37" t="str">
        <f>CONCATENATE("Итого по разделу: ",IF(Source!G69&lt;&gt;"Новый раздел", Source!G69, ""))</f>
        <v>Итого по разделу: Оборудование</v>
      </c>
      <c r="B82" s="37"/>
      <c r="C82" s="37"/>
      <c r="D82" s="37"/>
      <c r="E82" s="37"/>
      <c r="F82" s="37"/>
      <c r="G82" s="39">
        <f>SUM(O78:O81)</f>
        <v>213805</v>
      </c>
      <c r="H82" s="39"/>
      <c r="I82" s="40"/>
      <c r="J82" s="39">
        <f>SUM(P78:P81)</f>
        <v>213805</v>
      </c>
      <c r="K82" s="39"/>
      <c r="L82" s="38">
        <f>SUM(Q78:Q81)</f>
        <v>0</v>
      </c>
    </row>
    <row r="85" spans="1:26" ht="16.5" x14ac:dyDescent="0.25">
      <c r="A85" s="62" t="str">
        <f>CONCATENATE("Раздел: ",IF(Source!G99&lt;&gt;"Новый раздел", Source!G99, ""))</f>
        <v>Раздел: Пусконаладочные работы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</row>
    <row r="86" spans="1:26" ht="57" x14ac:dyDescent="0.2">
      <c r="A86" s="60" t="str">
        <f>Source!E103</f>
        <v>6</v>
      </c>
      <c r="B86" s="59" t="str">
        <f>Source!F103</f>
        <v>п02-01-003-03</v>
      </c>
      <c r="C86" s="59" t="str">
        <f>Source!G103</f>
        <v>Автоматизированная система управления III категории технической сложности с количеством каналов (Кобщ): 10</v>
      </c>
      <c r="D86" s="58" t="str">
        <f>Source!H103</f>
        <v>система</v>
      </c>
      <c r="E86" s="30">
        <f>Source!I103</f>
        <v>1</v>
      </c>
      <c r="F86" s="61">
        <f>Source!AL103+Source!AM103+Source!AO103</f>
        <v>1660.97</v>
      </c>
      <c r="G86" s="56"/>
      <c r="H86" s="53"/>
      <c r="I86" s="56" t="str">
        <f>Source!BO103</f>
        <v/>
      </c>
      <c r="J86" s="56"/>
      <c r="K86" s="53"/>
      <c r="L86" s="52"/>
      <c r="S86" s="27">
        <f>ROUND((Source!FX103/100)*((ROUND(Source!AF103*Source!I103, 0)+ROUND(Source!AE103*Source!I103, 0))), 0)</f>
        <v>1229</v>
      </c>
      <c r="T86" s="27">
        <f>Source!X103</f>
        <v>33604</v>
      </c>
      <c r="U86" s="27">
        <f>ROUND((Source!FY103/100)*((ROUND(Source!AF103*Source!I103, 0)+ROUND(Source!AE103*Source!I103, 0))), 0)</f>
        <v>598</v>
      </c>
      <c r="V86" s="27">
        <f>Source!Y103</f>
        <v>16348</v>
      </c>
    </row>
    <row r="87" spans="1:26" ht="14.25" x14ac:dyDescent="0.2">
      <c r="A87" s="60"/>
      <c r="B87" s="59"/>
      <c r="C87" s="59" t="s">
        <v>41</v>
      </c>
      <c r="D87" s="58"/>
      <c r="E87" s="30"/>
      <c r="F87" s="61">
        <f>Source!AO103</f>
        <v>1660.97</v>
      </c>
      <c r="G87" s="56" t="str">
        <f>Source!DG103</f>
        <v/>
      </c>
      <c r="H87" s="53">
        <f>ROUND(Source!AF103*Source!I103, 0)</f>
        <v>1661</v>
      </c>
      <c r="I87" s="56"/>
      <c r="J87" s="56">
        <f>IF(Source!BA103&lt;&gt; 0, Source!BA103, 1)</f>
        <v>27.34</v>
      </c>
      <c r="K87" s="53">
        <f>Source!S103</f>
        <v>45411</v>
      </c>
      <c r="L87" s="52"/>
      <c r="R87" s="27">
        <f>H87</f>
        <v>1661</v>
      </c>
    </row>
    <row r="88" spans="1:26" ht="14.25" x14ac:dyDescent="0.2">
      <c r="A88" s="60"/>
      <c r="B88" s="59"/>
      <c r="C88" s="59" t="s">
        <v>40</v>
      </c>
      <c r="D88" s="58" t="s">
        <v>38</v>
      </c>
      <c r="E88" s="30">
        <f>Source!BZ103</f>
        <v>74</v>
      </c>
      <c r="F88" s="57"/>
      <c r="G88" s="56"/>
      <c r="H88" s="53">
        <f>SUM(S86:S90)</f>
        <v>1229</v>
      </c>
      <c r="I88" s="55"/>
      <c r="J88" s="54">
        <f>Source!AT103</f>
        <v>74</v>
      </c>
      <c r="K88" s="53">
        <f>SUM(T86:T90)</f>
        <v>33604</v>
      </c>
      <c r="L88" s="52"/>
    </row>
    <row r="89" spans="1:26" ht="14.25" x14ac:dyDescent="0.2">
      <c r="A89" s="60"/>
      <c r="B89" s="59"/>
      <c r="C89" s="59" t="s">
        <v>39</v>
      </c>
      <c r="D89" s="58" t="s">
        <v>38</v>
      </c>
      <c r="E89" s="30">
        <f>Source!CA103</f>
        <v>36</v>
      </c>
      <c r="F89" s="57"/>
      <c r="G89" s="56"/>
      <c r="H89" s="53">
        <f>SUM(U86:U90)</f>
        <v>598</v>
      </c>
      <c r="I89" s="55"/>
      <c r="J89" s="54">
        <f>Source!AU103</f>
        <v>36</v>
      </c>
      <c r="K89" s="53">
        <f>SUM(V86:V90)</f>
        <v>16348</v>
      </c>
      <c r="L89" s="52"/>
    </row>
    <row r="90" spans="1:26" ht="14.25" x14ac:dyDescent="0.2">
      <c r="A90" s="51"/>
      <c r="B90" s="50"/>
      <c r="C90" s="50" t="s">
        <v>37</v>
      </c>
      <c r="D90" s="49" t="s">
        <v>36</v>
      </c>
      <c r="E90" s="48">
        <f>Source!AQ103</f>
        <v>102</v>
      </c>
      <c r="F90" s="47"/>
      <c r="G90" s="46" t="str">
        <f>Source!DI103</f>
        <v/>
      </c>
      <c r="H90" s="45"/>
      <c r="I90" s="46"/>
      <c r="J90" s="46"/>
      <c r="K90" s="45"/>
      <c r="L90" s="44">
        <f>Source!U103</f>
        <v>102</v>
      </c>
    </row>
    <row r="91" spans="1:26" ht="15" x14ac:dyDescent="0.25">
      <c r="G91" s="43">
        <f>H87+H88+H89</f>
        <v>3488</v>
      </c>
      <c r="H91" s="43"/>
      <c r="J91" s="43">
        <f>K87+K88+K89</f>
        <v>95363</v>
      </c>
      <c r="K91" s="43"/>
      <c r="L91" s="38">
        <f>Source!U103</f>
        <v>102</v>
      </c>
      <c r="O91" s="42">
        <f>G91</f>
        <v>3488</v>
      </c>
      <c r="P91" s="42">
        <f>J91</f>
        <v>95363</v>
      </c>
      <c r="Q91" s="41">
        <f>L91</f>
        <v>102</v>
      </c>
      <c r="W91" s="27">
        <f>IF(Source!BI103&lt;=1,H87+H88+H89, 0)</f>
        <v>0</v>
      </c>
      <c r="X91" s="27">
        <f>IF(Source!BI103=2,H87+H88+H89, 0)</f>
        <v>0</v>
      </c>
      <c r="Y91" s="27">
        <f>IF(Source!BI103=3,H87+H88+H89, 0)</f>
        <v>0</v>
      </c>
      <c r="Z91" s="27">
        <f>IF(Source!BI103=4,H87+H88+H89, 0)</f>
        <v>3488</v>
      </c>
    </row>
    <row r="92" spans="1:26" ht="42.75" x14ac:dyDescent="0.2">
      <c r="A92" s="60" t="str">
        <f>Source!E105</f>
        <v>7</v>
      </c>
      <c r="B92" s="59" t="str">
        <f>Source!F105</f>
        <v>п01-10-003-01</v>
      </c>
      <c r="C92" s="59" t="str">
        <f>Source!G105</f>
        <v>Мнемосхема щита диспетчерского управления с количеством принимаемых сигналов: до 50</v>
      </c>
      <c r="D92" s="58" t="str">
        <f>Source!H105</f>
        <v>схема</v>
      </c>
      <c r="E92" s="30">
        <f>Source!I105</f>
        <v>1</v>
      </c>
      <c r="F92" s="61">
        <f>Source!AL105+Source!AM105+Source!AO105</f>
        <v>1620.3</v>
      </c>
      <c r="G92" s="56"/>
      <c r="H92" s="53"/>
      <c r="I92" s="56" t="str">
        <f>Source!BO105</f>
        <v/>
      </c>
      <c r="J92" s="56"/>
      <c r="K92" s="53"/>
      <c r="L92" s="52"/>
      <c r="S92" s="27">
        <f>ROUND((Source!FX105/100)*((ROUND(Source!AF105*Source!I105, 0)+ROUND(Source!AE105*Source!I105, 0))), 0)</f>
        <v>1199</v>
      </c>
      <c r="T92" s="27">
        <f>Source!X105</f>
        <v>32781</v>
      </c>
      <c r="U92" s="27">
        <f>ROUND((Source!FY105/100)*((ROUND(Source!AF105*Source!I105, 0)+ROUND(Source!AE105*Source!I105, 0))), 0)</f>
        <v>583</v>
      </c>
      <c r="V92" s="27">
        <f>Source!Y105</f>
        <v>15948</v>
      </c>
    </row>
    <row r="93" spans="1:26" ht="14.25" x14ac:dyDescent="0.2">
      <c r="A93" s="60"/>
      <c r="B93" s="59"/>
      <c r="C93" s="59" t="s">
        <v>41</v>
      </c>
      <c r="D93" s="58"/>
      <c r="E93" s="30"/>
      <c r="F93" s="61">
        <f>Source!AO105</f>
        <v>1620.3</v>
      </c>
      <c r="G93" s="56" t="str">
        <f>Source!DG105</f>
        <v/>
      </c>
      <c r="H93" s="53">
        <f>ROUND(Source!AF105*Source!I105, 0)</f>
        <v>1620</v>
      </c>
      <c r="I93" s="56"/>
      <c r="J93" s="56">
        <f>IF(Source!BA105&lt;&gt; 0, Source!BA105, 1)</f>
        <v>27.34</v>
      </c>
      <c r="K93" s="53">
        <f>Source!S105</f>
        <v>44299</v>
      </c>
      <c r="L93" s="52"/>
      <c r="R93" s="27">
        <f>H93</f>
        <v>1620</v>
      </c>
    </row>
    <row r="94" spans="1:26" ht="14.25" x14ac:dyDescent="0.2">
      <c r="A94" s="60"/>
      <c r="B94" s="59"/>
      <c r="C94" s="59" t="s">
        <v>40</v>
      </c>
      <c r="D94" s="58" t="s">
        <v>38</v>
      </c>
      <c r="E94" s="30">
        <f>Source!BZ105</f>
        <v>74</v>
      </c>
      <c r="F94" s="57"/>
      <c r="G94" s="56"/>
      <c r="H94" s="53">
        <f>SUM(S92:S96)</f>
        <v>1199</v>
      </c>
      <c r="I94" s="55"/>
      <c r="J94" s="54">
        <f>Source!AT105</f>
        <v>74</v>
      </c>
      <c r="K94" s="53">
        <f>SUM(T92:T96)</f>
        <v>32781</v>
      </c>
      <c r="L94" s="52"/>
    </row>
    <row r="95" spans="1:26" ht="14.25" x14ac:dyDescent="0.2">
      <c r="A95" s="60"/>
      <c r="B95" s="59"/>
      <c r="C95" s="59" t="s">
        <v>39</v>
      </c>
      <c r="D95" s="58" t="s">
        <v>38</v>
      </c>
      <c r="E95" s="30">
        <f>Source!CA105</f>
        <v>36</v>
      </c>
      <c r="F95" s="57"/>
      <c r="G95" s="56"/>
      <c r="H95" s="53">
        <f>SUM(U92:U96)</f>
        <v>583</v>
      </c>
      <c r="I95" s="55"/>
      <c r="J95" s="54">
        <f>Source!AU105</f>
        <v>36</v>
      </c>
      <c r="K95" s="53">
        <f>SUM(V92:V96)</f>
        <v>15948</v>
      </c>
      <c r="L95" s="52"/>
    </row>
    <row r="96" spans="1:26" ht="14.25" x14ac:dyDescent="0.2">
      <c r="A96" s="51"/>
      <c r="B96" s="50"/>
      <c r="C96" s="50" t="s">
        <v>37</v>
      </c>
      <c r="D96" s="49" t="s">
        <v>36</v>
      </c>
      <c r="E96" s="48">
        <f>Source!AQ105</f>
        <v>138.51</v>
      </c>
      <c r="F96" s="47"/>
      <c r="G96" s="46" t="str">
        <f>Source!DI105</f>
        <v/>
      </c>
      <c r="H96" s="45"/>
      <c r="I96" s="46"/>
      <c r="J96" s="46"/>
      <c r="K96" s="45"/>
      <c r="L96" s="44">
        <f>Source!U105</f>
        <v>138.51</v>
      </c>
    </row>
    <row r="97" spans="1:26" ht="15" x14ac:dyDescent="0.25">
      <c r="G97" s="43">
        <f>H93+H94+H95</f>
        <v>3402</v>
      </c>
      <c r="H97" s="43"/>
      <c r="J97" s="43">
        <f>K93+K94+K95</f>
        <v>93028</v>
      </c>
      <c r="K97" s="43"/>
      <c r="L97" s="38">
        <f>Source!U105</f>
        <v>138.51</v>
      </c>
      <c r="O97" s="42">
        <f>G97</f>
        <v>3402</v>
      </c>
      <c r="P97" s="42">
        <f>J97</f>
        <v>93028</v>
      </c>
      <c r="Q97" s="41">
        <f>L97</f>
        <v>138.51</v>
      </c>
      <c r="W97" s="27">
        <f>IF(Source!BI105&lt;=1,H93+H94+H95, 0)</f>
        <v>0</v>
      </c>
      <c r="X97" s="27">
        <f>IF(Source!BI105=2,H93+H94+H95, 0)</f>
        <v>0</v>
      </c>
      <c r="Y97" s="27">
        <f>IF(Source!BI105=3,H93+H94+H95, 0)</f>
        <v>0</v>
      </c>
      <c r="Z97" s="27">
        <f>IF(Source!BI105=4,H93+H94+H95, 0)</f>
        <v>3402</v>
      </c>
    </row>
    <row r="99" spans="1:26" ht="15" x14ac:dyDescent="0.25">
      <c r="A99" s="37" t="str">
        <f>CONCATENATE("Итого по разделу: ",IF(Source!G107&lt;&gt;"Новый раздел", Source!G107, ""))</f>
        <v>Итого по разделу: Пусконаладочные работы</v>
      </c>
      <c r="B99" s="37"/>
      <c r="C99" s="37"/>
      <c r="D99" s="37"/>
      <c r="E99" s="37"/>
      <c r="F99" s="37"/>
      <c r="G99" s="39">
        <f>SUM(O85:O98)</f>
        <v>6890</v>
      </c>
      <c r="H99" s="39"/>
      <c r="I99" s="40"/>
      <c r="J99" s="39">
        <f>SUM(P85:P98)</f>
        <v>188391</v>
      </c>
      <c r="K99" s="39"/>
      <c r="L99" s="38">
        <f>SUM(Q85:Q98)</f>
        <v>240.51</v>
      </c>
    </row>
    <row r="103" spans="1:26" ht="15" x14ac:dyDescent="0.25">
      <c r="A103" s="37" t="str">
        <f>CONCATENATE("Итого по локальной смете: ",IF(Source!G137&lt;&gt;"Новая локальная смета", Source!G137, ""))</f>
        <v xml:space="preserve">Итого по локальной смете: </v>
      </c>
      <c r="B103" s="37"/>
      <c r="C103" s="37"/>
      <c r="D103" s="37"/>
      <c r="E103" s="37"/>
      <c r="F103" s="37"/>
      <c r="G103" s="39">
        <f>SUM(O34:O102)</f>
        <v>221470</v>
      </c>
      <c r="H103" s="39"/>
      <c r="I103" s="40"/>
      <c r="J103" s="39">
        <f>SUM(P34:P102)</f>
        <v>415553</v>
      </c>
      <c r="K103" s="39"/>
      <c r="L103" s="38">
        <f>SUM(Q34:Q102)</f>
        <v>256.52350000000001</v>
      </c>
    </row>
    <row r="107" spans="1:26" ht="15" x14ac:dyDescent="0.25">
      <c r="A107" s="37" t="str">
        <f>CONCATENATE("Итого по смете: ",IF(Source!G167&lt;&gt;"Новый объект", Source!G167, ""))</f>
        <v>Итого по смете: реклоузер на ВЛ-10 кВ ф.189-04 г Волосово (20-1-08-1-03-04-2-0301)</v>
      </c>
      <c r="B107" s="37"/>
      <c r="C107" s="37"/>
      <c r="D107" s="37"/>
      <c r="E107" s="37"/>
      <c r="F107" s="37"/>
      <c r="G107" s="39">
        <f>SUM(O1:O106)</f>
        <v>221470</v>
      </c>
      <c r="H107" s="39"/>
      <c r="I107" s="40"/>
      <c r="J107" s="39">
        <f>SUM(P1:P106)</f>
        <v>415553</v>
      </c>
      <c r="K107" s="39"/>
      <c r="L107" s="38">
        <f>SUM(Q1:Q106)</f>
        <v>256.52350000000001</v>
      </c>
    </row>
    <row r="108" spans="1:26" ht="21" customHeight="1" x14ac:dyDescent="0.25">
      <c r="A108" s="37" t="s">
        <v>35</v>
      </c>
      <c r="B108" s="37"/>
      <c r="K108" s="36">
        <f>ROUND(J107*0.2,0)</f>
        <v>83111</v>
      </c>
    </row>
    <row r="109" spans="1:26" ht="18.75" customHeight="1" x14ac:dyDescent="0.25">
      <c r="A109" s="35" t="s">
        <v>34</v>
      </c>
      <c r="B109" s="35"/>
      <c r="K109" s="34">
        <f>ROUND(J107+K108,0)</f>
        <v>498664</v>
      </c>
    </row>
    <row r="111" spans="1:26" x14ac:dyDescent="0.2">
      <c r="A111" s="33"/>
      <c r="B111" s="33"/>
    </row>
    <row r="113" spans="1:12" ht="14.25" x14ac:dyDescent="0.2">
      <c r="A113" s="32" t="s">
        <v>32</v>
      </c>
      <c r="B113" s="32"/>
      <c r="C113" s="30" t="s">
        <v>33</v>
      </c>
      <c r="D113" s="31" t="str">
        <f>IF(Source!CP12&lt;&gt;"", Source!CP12," ")</f>
        <v xml:space="preserve"> </v>
      </c>
      <c r="E113" s="31"/>
      <c r="F113" s="31"/>
      <c r="G113" s="31"/>
      <c r="H113" s="31"/>
      <c r="I113" s="28">
        <f>IF(Source!CO12&lt;&gt;"", Source!CO12," ")</f>
        <v>382</v>
      </c>
      <c r="J113" s="30"/>
      <c r="K113" s="28"/>
      <c r="L113" s="28"/>
    </row>
    <row r="114" spans="1:12" ht="14.25" x14ac:dyDescent="0.2">
      <c r="A114" s="28"/>
      <c r="B114" s="28"/>
      <c r="C114" s="30"/>
      <c r="D114" s="29" t="s">
        <v>29</v>
      </c>
      <c r="E114" s="29"/>
      <c r="F114" s="29"/>
      <c r="G114" s="29"/>
      <c r="H114" s="29"/>
      <c r="I114" s="28"/>
      <c r="J114" s="30"/>
      <c r="K114" s="28"/>
      <c r="L114" s="28"/>
    </row>
    <row r="115" spans="1:12" ht="14.25" x14ac:dyDescent="0.2">
      <c r="A115" s="28"/>
      <c r="B115" s="28"/>
      <c r="C115" s="30"/>
      <c r="D115" s="28"/>
      <c r="E115" s="28"/>
      <c r="F115" s="28"/>
      <c r="G115" s="28"/>
      <c r="H115" s="28"/>
      <c r="I115" s="28"/>
      <c r="J115" s="30"/>
      <c r="K115" s="28"/>
      <c r="L115" s="28"/>
    </row>
    <row r="116" spans="1:12" ht="14.25" x14ac:dyDescent="0.2">
      <c r="A116" s="32" t="s">
        <v>32</v>
      </c>
      <c r="B116" s="32"/>
      <c r="C116" s="30" t="s">
        <v>31</v>
      </c>
      <c r="D116" s="31" t="str">
        <f>IF(Source!AC12&lt;&gt;"", Source!AC12," ")</f>
        <v xml:space="preserve"> </v>
      </c>
      <c r="E116" s="31"/>
      <c r="F116" s="31"/>
      <c r="G116" s="31"/>
      <c r="H116" s="31"/>
      <c r="I116" s="28" t="str">
        <f>IF(Source!AB12&lt;&gt;"", Source!AB12," ")</f>
        <v xml:space="preserve"> </v>
      </c>
      <c r="J116" s="30"/>
      <c r="K116" s="28"/>
      <c r="L116" s="28"/>
    </row>
    <row r="117" spans="1:12" ht="14.25" x14ac:dyDescent="0.2">
      <c r="A117" s="28"/>
      <c r="B117" s="28"/>
      <c r="C117" s="28"/>
      <c r="D117" s="29" t="s">
        <v>29</v>
      </c>
      <c r="E117" s="29"/>
      <c r="F117" s="29"/>
      <c r="G117" s="29"/>
      <c r="H117" s="29"/>
      <c r="I117" s="28"/>
      <c r="J117" s="28"/>
      <c r="K117" s="28"/>
      <c r="L117" s="28"/>
    </row>
    <row r="118" spans="1:12" ht="14.25" x14ac:dyDescent="0.2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</row>
    <row r="119" spans="1:12" ht="14.25" x14ac:dyDescent="0.2">
      <c r="A119" s="28"/>
      <c r="B119" s="28"/>
      <c r="C119" s="30" t="s">
        <v>30</v>
      </c>
      <c r="D119" s="31" t="str">
        <f>IF(Source!AE12&lt;&gt;"", Source!AE12," ")</f>
        <v xml:space="preserve"> </v>
      </c>
      <c r="E119" s="31"/>
      <c r="F119" s="31"/>
      <c r="G119" s="31"/>
      <c r="H119" s="31"/>
      <c r="I119" s="28" t="str">
        <f>IF(Source!AD12&lt;&gt;"", Source!AD12," ")</f>
        <v xml:space="preserve"> </v>
      </c>
      <c r="J119" s="30"/>
      <c r="K119" s="28"/>
      <c r="L119" s="28"/>
    </row>
    <row r="120" spans="1:12" ht="14.25" x14ac:dyDescent="0.2">
      <c r="A120" s="28"/>
      <c r="B120" s="28"/>
      <c r="C120" s="28"/>
      <c r="D120" s="29" t="s">
        <v>29</v>
      </c>
      <c r="E120" s="29"/>
      <c r="F120" s="29"/>
      <c r="G120" s="29"/>
      <c r="H120" s="29"/>
      <c r="I120" s="28"/>
      <c r="J120" s="28"/>
      <c r="K120" s="28"/>
      <c r="L120" s="28"/>
    </row>
  </sheetData>
  <mergeCells count="82">
    <mergeCell ref="B11:K11"/>
    <mergeCell ref="B12:K12"/>
    <mergeCell ref="A14:L14"/>
    <mergeCell ref="G17:H17"/>
    <mergeCell ref="I17:J17"/>
    <mergeCell ref="C18:F18"/>
    <mergeCell ref="G18:H18"/>
    <mergeCell ref="I18:J18"/>
    <mergeCell ref="K18:L18"/>
    <mergeCell ref="B2:K2"/>
    <mergeCell ref="B3:K3"/>
    <mergeCell ref="F5:G5"/>
    <mergeCell ref="H5:K5"/>
    <mergeCell ref="B7:K7"/>
    <mergeCell ref="B9:K9"/>
    <mergeCell ref="C19:F19"/>
    <mergeCell ref="G19:H19"/>
    <mergeCell ref="I19:J19"/>
    <mergeCell ref="K19:L19"/>
    <mergeCell ref="C20:F20"/>
    <mergeCell ref="G20:H20"/>
    <mergeCell ref="I20:J20"/>
    <mergeCell ref="K20:L20"/>
    <mergeCell ref="C21:F21"/>
    <mergeCell ref="G21:H21"/>
    <mergeCell ref="I21:J21"/>
    <mergeCell ref="K21:L21"/>
    <mergeCell ref="C22:F22"/>
    <mergeCell ref="G22:H22"/>
    <mergeCell ref="I22:J22"/>
    <mergeCell ref="K22:L22"/>
    <mergeCell ref="C23:F23"/>
    <mergeCell ref="G23:H23"/>
    <mergeCell ref="I23:J23"/>
    <mergeCell ref="K23:L23"/>
    <mergeCell ref="C24:F24"/>
    <mergeCell ref="G24:H24"/>
    <mergeCell ref="I24:J24"/>
    <mergeCell ref="K24:L24"/>
    <mergeCell ref="G91:H91"/>
    <mergeCell ref="G99:H99"/>
    <mergeCell ref="A111:B111"/>
    <mergeCell ref="A108:B108"/>
    <mergeCell ref="G54:H54"/>
    <mergeCell ref="J80:K80"/>
    <mergeCell ref="C25:F25"/>
    <mergeCell ref="G25:H25"/>
    <mergeCell ref="I25:J25"/>
    <mergeCell ref="A30:L30"/>
    <mergeCell ref="D114:H114"/>
    <mergeCell ref="A85:L85"/>
    <mergeCell ref="G82:H82"/>
    <mergeCell ref="J82:K82"/>
    <mergeCell ref="A82:F82"/>
    <mergeCell ref="J91:K91"/>
    <mergeCell ref="D120:H120"/>
    <mergeCell ref="J99:K99"/>
    <mergeCell ref="A99:F99"/>
    <mergeCell ref="J97:K97"/>
    <mergeCell ref="G97:H97"/>
    <mergeCell ref="D117:H117"/>
    <mergeCell ref="A109:B109"/>
    <mergeCell ref="J72:K72"/>
    <mergeCell ref="G72:H72"/>
    <mergeCell ref="J63:K63"/>
    <mergeCell ref="G63:H63"/>
    <mergeCell ref="J54:K54"/>
    <mergeCell ref="G80:H80"/>
    <mergeCell ref="A78:L78"/>
    <mergeCell ref="G74:H74"/>
    <mergeCell ref="J74:K74"/>
    <mergeCell ref="A74:F74"/>
    <mergeCell ref="J45:K45"/>
    <mergeCell ref="G45:H45"/>
    <mergeCell ref="A36:L36"/>
    <mergeCell ref="A34:L34"/>
    <mergeCell ref="G107:H107"/>
    <mergeCell ref="J107:K107"/>
    <mergeCell ref="A107:F107"/>
    <mergeCell ref="G103:H103"/>
    <mergeCell ref="J103:K103"/>
    <mergeCell ref="A103:F103"/>
  </mergeCells>
  <pageMargins left="0.4" right="0.2" top="0.4" bottom="0.4" header="0.2" footer="0.2"/>
  <pageSetup paperSize="9" scale="59" fitToHeight="0" orientation="portrait" r:id="rId1"/>
  <headerFooter>
    <oddHeader>&amp;L&amp;8ООО "ИТ Компания "Д-Системс"  Доп. раб. место  FStS-0043766&amp;R&amp;1144375</oddHeader>
    <oddFooter>&amp;R&amp;P</oddFooter>
  </headerFooter>
  <rowBreaks count="1" manualBreakCount="1">
    <brk id="8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33"/>
  <sheetViews>
    <sheetView view="pageBreakPreview" topLeftCell="A92" zoomScaleNormal="100" zoomScaleSheetLayoutView="100" workbookViewId="0">
      <selection activeCell="L77" sqref="L77"/>
    </sheetView>
  </sheetViews>
  <sheetFormatPr defaultColWidth="8.85546875" defaultRowHeight="12.75" x14ac:dyDescent="0.2"/>
  <cols>
    <col min="1" max="1" width="3.5703125" style="105" customWidth="1"/>
    <col min="2" max="2" width="6.7109375" style="105" customWidth="1"/>
    <col min="3" max="3" width="13.28515625" style="105" customWidth="1"/>
    <col min="4" max="4" width="2.7109375" style="105" customWidth="1"/>
    <col min="5" max="5" width="2.85546875" style="105" customWidth="1"/>
    <col min="6" max="6" width="2.42578125" style="105" customWidth="1"/>
    <col min="7" max="7" width="4.140625" style="105" customWidth="1"/>
    <col min="8" max="8" width="2.5703125" style="105" customWidth="1"/>
    <col min="9" max="9" width="2" style="105" customWidth="1"/>
    <col min="10" max="10" width="4" style="105" customWidth="1"/>
    <col min="11" max="11" width="1.5703125" style="105" customWidth="1"/>
    <col min="12" max="12" width="5.28515625" style="105" customWidth="1"/>
    <col min="13" max="13" width="2.7109375" style="105" customWidth="1"/>
    <col min="14" max="14" width="9.5703125" style="105" customWidth="1"/>
    <col min="15" max="15" width="2.7109375" style="105" customWidth="1"/>
    <col min="16" max="16" width="2.85546875" style="105" customWidth="1"/>
    <col min="17" max="17" width="2.42578125" style="105" customWidth="1"/>
    <col min="18" max="18" width="6.7109375" style="105" customWidth="1"/>
    <col min="19" max="19" width="3.5703125" style="105" customWidth="1"/>
    <col min="20" max="20" width="8.140625" style="105" customWidth="1"/>
    <col min="21" max="21" width="8.42578125" style="105" customWidth="1"/>
    <col min="22" max="22" width="12.28515625" style="105" bestFit="1" customWidth="1"/>
    <col min="23" max="16384" width="8.85546875" style="105"/>
  </cols>
  <sheetData>
    <row r="1" spans="1:21" ht="20.25" hidden="1" customHeight="1" x14ac:dyDescent="0.2">
      <c r="L1" s="214" t="s">
        <v>489</v>
      </c>
      <c r="M1" s="214"/>
      <c r="N1" s="214"/>
      <c r="O1" s="214"/>
      <c r="P1" s="214"/>
      <c r="Q1" s="214"/>
      <c r="R1" s="214"/>
      <c r="S1" s="214"/>
      <c r="T1" s="214"/>
      <c r="U1" s="214"/>
    </row>
    <row r="2" spans="1:21" ht="24.75" customHeight="1" x14ac:dyDescent="0.2"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1" ht="18.75" x14ac:dyDescent="0.3">
      <c r="A3" s="212" t="s">
        <v>488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</row>
    <row r="4" spans="1:21" ht="3.2" customHeight="1" x14ac:dyDescent="0.2"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</row>
    <row r="5" spans="1:21" ht="3.75" hidden="1" customHeight="1" x14ac:dyDescent="0.2"/>
    <row r="6" spans="1:21" ht="39.200000000000003" customHeight="1" x14ac:dyDescent="0.2">
      <c r="A6" s="105" t="s">
        <v>487</v>
      </c>
      <c r="D6" s="167" t="s">
        <v>27</v>
      </c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</row>
    <row r="7" spans="1:21" s="110" customFormat="1" ht="18" customHeight="1" x14ac:dyDescent="0.2">
      <c r="B7" s="209" t="s">
        <v>454</v>
      </c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</row>
    <row r="8" spans="1:21" s="110" customFormat="1" ht="3.2" customHeight="1" x14ac:dyDescent="0.2">
      <c r="B8" s="120"/>
    </row>
    <row r="9" spans="1:21" s="110" customFormat="1" ht="3.2" customHeight="1" x14ac:dyDescent="0.2"/>
    <row r="10" spans="1:21" x14ac:dyDescent="0.2">
      <c r="A10" s="110" t="s">
        <v>486</v>
      </c>
      <c r="C10" s="120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110"/>
      <c r="P10" s="120"/>
      <c r="Q10" s="120"/>
      <c r="R10" s="120"/>
      <c r="S10" s="120"/>
      <c r="T10" s="120"/>
      <c r="U10" s="110"/>
    </row>
    <row r="11" spans="1:21" x14ac:dyDescent="0.2">
      <c r="A11" s="110" t="s">
        <v>485</v>
      </c>
      <c r="C11" s="12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20"/>
      <c r="Q11" s="120"/>
      <c r="R11" s="120"/>
      <c r="S11" s="120"/>
      <c r="T11" s="120"/>
      <c r="U11" s="110"/>
    </row>
    <row r="12" spans="1:21" ht="4.7" customHeight="1" x14ac:dyDescent="0.2"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</row>
    <row r="13" spans="1:21" ht="35.450000000000003" customHeight="1" x14ac:dyDescent="0.2">
      <c r="A13" s="166" t="s">
        <v>484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</row>
    <row r="14" spans="1:21" ht="3.75" customHeight="1" x14ac:dyDescent="0.2">
      <c r="B14" s="129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</row>
    <row r="15" spans="1:21" ht="5.25" customHeight="1" x14ac:dyDescent="0.2">
      <c r="B15" s="129"/>
    </row>
    <row r="16" spans="1:21" ht="27.75" customHeight="1" x14ac:dyDescent="0.2">
      <c r="A16" s="105" t="s">
        <v>12</v>
      </c>
      <c r="B16" s="166" t="s">
        <v>483</v>
      </c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</row>
    <row r="17" spans="1:42" s="110" customFormat="1" x14ac:dyDescent="0.2">
      <c r="B17" s="207" t="s">
        <v>482</v>
      </c>
      <c r="C17" s="206" t="s">
        <v>481</v>
      </c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5">
        <v>0.14299999999999999</v>
      </c>
    </row>
    <row r="18" spans="1:42" s="204" customFormat="1" x14ac:dyDescent="0.2">
      <c r="A18" s="110"/>
      <c r="B18" s="207" t="s">
        <v>480</v>
      </c>
      <c r="C18" s="206" t="s">
        <v>479</v>
      </c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5">
        <v>0.14299999999999999</v>
      </c>
    </row>
    <row r="19" spans="1:42" s="204" customFormat="1" x14ac:dyDescent="0.2">
      <c r="A19" s="110"/>
      <c r="B19" s="207" t="s">
        <v>478</v>
      </c>
      <c r="C19" s="206" t="s">
        <v>477</v>
      </c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5">
        <v>0.25</v>
      </c>
      <c r="V19" s="204" t="s">
        <v>476</v>
      </c>
    </row>
    <row r="20" spans="1:42" s="204" customFormat="1" x14ac:dyDescent="0.2">
      <c r="A20" s="110"/>
      <c r="B20" s="207" t="s">
        <v>475</v>
      </c>
      <c r="C20" s="206" t="s">
        <v>474</v>
      </c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5">
        <v>0</v>
      </c>
      <c r="V20" s="204" t="s">
        <v>473</v>
      </c>
    </row>
    <row r="21" spans="1:42" s="204" customFormat="1" x14ac:dyDescent="0.2">
      <c r="A21" s="110"/>
      <c r="B21" s="207" t="s">
        <v>472</v>
      </c>
      <c r="C21" s="206" t="s">
        <v>471</v>
      </c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5">
        <v>0</v>
      </c>
    </row>
    <row r="22" spans="1:42" s="204" customFormat="1" x14ac:dyDescent="0.2">
      <c r="A22" s="110"/>
      <c r="B22" s="203" t="s">
        <v>470</v>
      </c>
      <c r="C22" s="110" t="s">
        <v>469</v>
      </c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202"/>
    </row>
    <row r="23" spans="1:42" s="110" customFormat="1" x14ac:dyDescent="0.2">
      <c r="B23" s="203"/>
      <c r="C23" s="110" t="s">
        <v>468</v>
      </c>
      <c r="U23" s="202">
        <v>0.42</v>
      </c>
    </row>
    <row r="24" spans="1:42" x14ac:dyDescent="0.2">
      <c r="B24" s="203" t="s">
        <v>467</v>
      </c>
      <c r="C24" s="105" t="s">
        <v>466</v>
      </c>
      <c r="U24" s="183"/>
    </row>
    <row r="25" spans="1:42" s="110" customFormat="1" x14ac:dyDescent="0.2">
      <c r="B25" s="203"/>
      <c r="C25" s="110" t="s">
        <v>465</v>
      </c>
      <c r="U25" s="202">
        <v>0.42</v>
      </c>
    </row>
    <row r="26" spans="1:42" s="110" customFormat="1" x14ac:dyDescent="0.2">
      <c r="B26" s="203" t="s">
        <v>464</v>
      </c>
      <c r="C26" s="110" t="s">
        <v>463</v>
      </c>
      <c r="U26" s="202">
        <v>0.14299999999999999</v>
      </c>
    </row>
    <row r="27" spans="1:42" s="110" customFormat="1" x14ac:dyDescent="0.2">
      <c r="B27" s="203" t="s">
        <v>462</v>
      </c>
      <c r="C27" s="110" t="s">
        <v>461</v>
      </c>
      <c r="U27" s="202">
        <v>0</v>
      </c>
    </row>
    <row r="28" spans="1:42" s="110" customFormat="1" ht="6.75" customHeight="1" x14ac:dyDescent="0.2">
      <c r="B28" s="203"/>
      <c r="U28" s="202"/>
    </row>
    <row r="29" spans="1:42" x14ac:dyDescent="0.2">
      <c r="B29" s="105" t="s">
        <v>460</v>
      </c>
    </row>
    <row r="30" spans="1:42" ht="12.75" customHeight="1" x14ac:dyDescent="0.2">
      <c r="B30" s="194" t="s">
        <v>459</v>
      </c>
      <c r="C30" s="188" t="s">
        <v>458</v>
      </c>
      <c r="D30" s="187"/>
      <c r="E30" s="187"/>
      <c r="F30" s="187"/>
      <c r="G30" s="187"/>
      <c r="H30" s="187"/>
      <c r="I30" s="187"/>
      <c r="J30" s="187"/>
      <c r="K30" s="186"/>
      <c r="L30" s="188" t="s">
        <v>457</v>
      </c>
      <c r="M30" s="187"/>
      <c r="N30" s="186"/>
      <c r="O30" s="188" t="s">
        <v>456</v>
      </c>
      <c r="P30" s="187"/>
      <c r="Q30" s="187"/>
      <c r="R30" s="186"/>
      <c r="S30" s="188" t="s">
        <v>455</v>
      </c>
      <c r="T30" s="187"/>
      <c r="U30" s="186"/>
    </row>
    <row r="31" spans="1:42" ht="15.75" customHeight="1" x14ac:dyDescent="0.2">
      <c r="B31" s="194">
        <v>1</v>
      </c>
      <c r="C31" s="201" t="s">
        <v>454</v>
      </c>
      <c r="D31" s="200"/>
      <c r="E31" s="200"/>
      <c r="F31" s="200"/>
      <c r="G31" s="200"/>
      <c r="H31" s="200"/>
      <c r="I31" s="200"/>
      <c r="J31" s="200"/>
      <c r="K31" s="199"/>
      <c r="L31" s="198">
        <v>9</v>
      </c>
      <c r="M31" s="198"/>
      <c r="N31" s="198"/>
      <c r="O31" s="197">
        <v>0</v>
      </c>
      <c r="P31" s="196"/>
      <c r="Q31" s="196"/>
      <c r="R31" s="195"/>
      <c r="S31" s="188"/>
      <c r="T31" s="187"/>
      <c r="U31" s="186"/>
    </row>
    <row r="32" spans="1:42" ht="15.75" hidden="1" customHeight="1" x14ac:dyDescent="0.2">
      <c r="B32" s="194"/>
      <c r="C32" s="192"/>
      <c r="D32" s="191"/>
      <c r="E32" s="191"/>
      <c r="F32" s="191"/>
      <c r="G32" s="191"/>
      <c r="H32" s="191"/>
      <c r="I32" s="191"/>
      <c r="J32" s="191"/>
      <c r="K32" s="190"/>
      <c r="L32" s="189"/>
      <c r="M32" s="189"/>
      <c r="N32" s="189"/>
      <c r="O32" s="188"/>
      <c r="P32" s="187"/>
      <c r="Q32" s="187"/>
      <c r="R32" s="186"/>
      <c r="S32" s="188"/>
      <c r="T32" s="187"/>
      <c r="U32" s="186"/>
      <c r="W32" s="193"/>
      <c r="X32" s="193"/>
      <c r="Y32" s="193"/>
      <c r="AA32" s="192"/>
      <c r="AB32" s="191"/>
      <c r="AC32" s="191"/>
      <c r="AD32" s="191"/>
      <c r="AE32" s="191"/>
      <c r="AF32" s="191"/>
      <c r="AG32" s="191"/>
      <c r="AH32" s="191"/>
      <c r="AI32" s="190"/>
      <c r="AJ32" s="189"/>
      <c r="AK32" s="189"/>
      <c r="AL32" s="189"/>
      <c r="AM32" s="188"/>
      <c r="AN32" s="187"/>
      <c r="AO32" s="187"/>
      <c r="AP32" s="186"/>
    </row>
    <row r="33" spans="1:42" ht="15.75" hidden="1" customHeight="1" x14ac:dyDescent="0.2">
      <c r="B33" s="194"/>
      <c r="C33" s="192"/>
      <c r="D33" s="191"/>
      <c r="E33" s="191"/>
      <c r="F33" s="191"/>
      <c r="G33" s="191"/>
      <c r="H33" s="191"/>
      <c r="I33" s="191"/>
      <c r="J33" s="191"/>
      <c r="K33" s="190"/>
      <c r="L33" s="189"/>
      <c r="M33" s="189"/>
      <c r="N33" s="189"/>
      <c r="O33" s="188"/>
      <c r="P33" s="187"/>
      <c r="Q33" s="187"/>
      <c r="R33" s="186"/>
      <c r="S33" s="188"/>
      <c r="T33" s="187"/>
      <c r="U33" s="186"/>
      <c r="W33" s="193"/>
      <c r="X33" s="193"/>
      <c r="Y33" s="193"/>
      <c r="AA33" s="192"/>
      <c r="AB33" s="191"/>
      <c r="AC33" s="191"/>
      <c r="AD33" s="191"/>
      <c r="AE33" s="191"/>
      <c r="AF33" s="191"/>
      <c r="AG33" s="191"/>
      <c r="AH33" s="191"/>
      <c r="AI33" s="190"/>
      <c r="AJ33" s="189"/>
      <c r="AK33" s="189"/>
      <c r="AL33" s="189"/>
      <c r="AM33" s="188"/>
      <c r="AN33" s="187"/>
      <c r="AO33" s="187"/>
      <c r="AP33" s="186"/>
    </row>
    <row r="34" spans="1:42" x14ac:dyDescent="0.2">
      <c r="B34" s="169"/>
      <c r="C34" s="182" t="s">
        <v>453</v>
      </c>
      <c r="D34" s="182"/>
      <c r="E34" s="182"/>
      <c r="F34" s="182"/>
      <c r="G34" s="182"/>
      <c r="H34" s="185"/>
      <c r="I34" s="185"/>
      <c r="J34" s="185"/>
      <c r="K34" s="185"/>
      <c r="L34" s="184">
        <f>SUM(L31:N33)</f>
        <v>9</v>
      </c>
      <c r="M34" s="184"/>
      <c r="N34" s="184"/>
      <c r="O34" s="184">
        <f>SUM(O31:R33)</f>
        <v>0</v>
      </c>
      <c r="P34" s="184"/>
      <c r="Q34" s="184"/>
      <c r="R34" s="184"/>
      <c r="S34" s="181"/>
      <c r="T34" s="181"/>
    </row>
    <row r="35" spans="1:42" ht="5.25" customHeight="1" x14ac:dyDescent="0.2">
      <c r="B35" s="169"/>
      <c r="C35" s="182"/>
      <c r="D35" s="182"/>
      <c r="E35" s="182"/>
      <c r="F35" s="182"/>
      <c r="G35" s="182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</row>
    <row r="36" spans="1:42" x14ac:dyDescent="0.2">
      <c r="A36" s="105" t="s">
        <v>14</v>
      </c>
      <c r="B36" s="105" t="s">
        <v>452</v>
      </c>
    </row>
    <row r="37" spans="1:42" x14ac:dyDescent="0.2">
      <c r="B37" s="105" t="s">
        <v>451</v>
      </c>
    </row>
    <row r="38" spans="1:42" ht="3.75" customHeight="1" x14ac:dyDescent="0.2"/>
    <row r="39" spans="1:42" x14ac:dyDescent="0.2">
      <c r="B39" s="129"/>
      <c r="C39" s="129" t="s">
        <v>450</v>
      </c>
      <c r="D39" s="165">
        <f>U17</f>
        <v>0.14299999999999999</v>
      </c>
      <c r="E39" s="164"/>
      <c r="F39" s="105" t="s">
        <v>449</v>
      </c>
      <c r="G39" s="165">
        <f>U18</f>
        <v>0.14299999999999999</v>
      </c>
      <c r="H39" s="165"/>
      <c r="I39" s="165"/>
      <c r="J39" s="105" t="s">
        <v>449</v>
      </c>
      <c r="K39" s="165">
        <f>U19</f>
        <v>0.25</v>
      </c>
      <c r="L39" s="165"/>
      <c r="M39" s="105" t="s">
        <v>449</v>
      </c>
      <c r="N39" s="165">
        <f>U20</f>
        <v>0</v>
      </c>
      <c r="O39" s="164"/>
      <c r="P39" s="105" t="s">
        <v>449</v>
      </c>
      <c r="Q39" s="165">
        <f>U21</f>
        <v>0</v>
      </c>
      <c r="R39" s="164"/>
      <c r="S39" s="105" t="s">
        <v>449</v>
      </c>
      <c r="T39" s="183">
        <f>U23</f>
        <v>0.42</v>
      </c>
      <c r="W39" s="170">
        <f>D39+G39+K39+N39+Q39+T39+D41+G41+K41</f>
        <v>1.5189999999999999</v>
      </c>
    </row>
    <row r="40" spans="1:42" ht="3.75" customHeight="1" x14ac:dyDescent="0.2">
      <c r="B40" s="129"/>
      <c r="C40" s="129"/>
      <c r="D40" s="161"/>
      <c r="E40" s="160"/>
      <c r="G40" s="161"/>
      <c r="H40" s="161"/>
      <c r="I40" s="161"/>
      <c r="K40" s="161"/>
      <c r="L40" s="161"/>
      <c r="N40" s="161"/>
      <c r="O40" s="160"/>
      <c r="Q40" s="161"/>
      <c r="R40" s="160"/>
    </row>
    <row r="41" spans="1:42" x14ac:dyDescent="0.2">
      <c r="B41" s="129"/>
      <c r="C41" s="129" t="s">
        <v>449</v>
      </c>
      <c r="D41" s="165">
        <f>U25</f>
        <v>0.42</v>
      </c>
      <c r="E41" s="165"/>
      <c r="F41" s="105" t="s">
        <v>449</v>
      </c>
      <c r="G41" s="165">
        <f>U26</f>
        <v>0.14299999999999999</v>
      </c>
      <c r="H41" s="165"/>
      <c r="I41" s="165"/>
      <c r="J41" s="105" t="s">
        <v>449</v>
      </c>
      <c r="K41" s="165">
        <f>U27</f>
        <v>0</v>
      </c>
      <c r="L41" s="165"/>
      <c r="M41" s="160" t="s">
        <v>398</v>
      </c>
      <c r="N41" s="165">
        <f>SUM(U17:U27)</f>
        <v>1.5189999999999999</v>
      </c>
      <c r="O41" s="165"/>
      <c r="P41" s="165"/>
      <c r="Q41" s="105" t="s">
        <v>448</v>
      </c>
      <c r="R41" s="160"/>
    </row>
    <row r="42" spans="1:42" ht="6" customHeight="1" x14ac:dyDescent="0.2">
      <c r="M42" s="160"/>
      <c r="N42" s="160"/>
      <c r="O42" s="160"/>
    </row>
    <row r="43" spans="1:42" x14ac:dyDescent="0.2">
      <c r="A43" s="105" t="s">
        <v>15</v>
      </c>
      <c r="B43" s="105" t="s">
        <v>447</v>
      </c>
      <c r="M43" s="160"/>
      <c r="N43" s="160"/>
      <c r="O43" s="160"/>
    </row>
    <row r="44" spans="1:42" ht="4.7" customHeight="1" x14ac:dyDescent="0.2">
      <c r="M44" s="160"/>
      <c r="N44" s="160"/>
      <c r="O44" s="160"/>
    </row>
    <row r="45" spans="1:42" x14ac:dyDescent="0.2">
      <c r="C45" s="105" t="s">
        <v>446</v>
      </c>
      <c r="F45" s="171"/>
      <c r="G45" s="171"/>
      <c r="H45" s="164">
        <v>256.92</v>
      </c>
      <c r="I45" s="164"/>
      <c r="J45" s="164"/>
      <c r="K45" s="171" t="s">
        <v>399</v>
      </c>
      <c r="L45" s="165">
        <f>N41</f>
        <v>1.5189999999999999</v>
      </c>
      <c r="M45" s="164"/>
      <c r="N45" s="164"/>
      <c r="O45" s="171" t="s">
        <v>398</v>
      </c>
      <c r="P45" s="164">
        <f>ROUND(H45*L45,2)</f>
        <v>390.26</v>
      </c>
      <c r="Q45" s="164"/>
      <c r="R45" s="164"/>
      <c r="S45" s="105" t="s">
        <v>397</v>
      </c>
    </row>
    <row r="46" spans="1:42" ht="8.4499999999999993" customHeight="1" x14ac:dyDescent="0.2">
      <c r="M46" s="160"/>
      <c r="N46" s="160"/>
      <c r="O46" s="160"/>
    </row>
    <row r="47" spans="1:42" x14ac:dyDescent="0.2">
      <c r="A47" s="105" t="s">
        <v>445</v>
      </c>
      <c r="B47" s="182" t="s">
        <v>444</v>
      </c>
      <c r="C47" s="182"/>
      <c r="D47" s="182"/>
      <c r="E47" s="182"/>
      <c r="F47" s="182"/>
      <c r="G47" s="182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</row>
    <row r="48" spans="1:42" hidden="1" x14ac:dyDescent="0.2">
      <c r="B48" s="129" t="s">
        <v>443</v>
      </c>
      <c r="C48" s="182" t="s">
        <v>442</v>
      </c>
      <c r="D48" s="182"/>
      <c r="E48" s="182"/>
      <c r="F48" s="182"/>
      <c r="G48" s="182"/>
      <c r="H48" s="169"/>
      <c r="I48" s="169"/>
      <c r="J48" s="169"/>
      <c r="K48" s="169"/>
      <c r="L48" s="169"/>
      <c r="M48" s="169"/>
      <c r="N48" s="169"/>
      <c r="O48" s="169" t="s">
        <v>398</v>
      </c>
      <c r="P48" s="181">
        <v>0.2</v>
      </c>
      <c r="Q48" s="181"/>
      <c r="R48" s="169"/>
      <c r="S48" s="169"/>
    </row>
    <row r="49" spans="1:21" x14ac:dyDescent="0.2">
      <c r="B49" s="129" t="s">
        <v>441</v>
      </c>
      <c r="C49" s="105" t="s">
        <v>440</v>
      </c>
    </row>
    <row r="50" spans="1:21" x14ac:dyDescent="0.2">
      <c r="B50" s="129"/>
      <c r="C50" s="105" t="s">
        <v>439</v>
      </c>
      <c r="H50" s="105" t="s">
        <v>398</v>
      </c>
      <c r="I50" s="128">
        <v>1.1499999999999999</v>
      </c>
      <c r="J50" s="128"/>
      <c r="K50" s="128"/>
    </row>
    <row r="51" spans="1:21" hidden="1" x14ac:dyDescent="0.2">
      <c r="B51" s="105" t="s">
        <v>438</v>
      </c>
      <c r="H51" s="129" t="s">
        <v>437</v>
      </c>
      <c r="I51" s="164">
        <v>1</v>
      </c>
      <c r="J51" s="164"/>
      <c r="K51" s="171" t="s">
        <v>399</v>
      </c>
      <c r="L51" s="105">
        <f>I50</f>
        <v>1.1499999999999999</v>
      </c>
      <c r="M51" s="105" t="s">
        <v>398</v>
      </c>
      <c r="N51" s="105">
        <f>ROUND(I51*L51,2)</f>
        <v>1.1499999999999999</v>
      </c>
    </row>
    <row r="52" spans="1:21" hidden="1" x14ac:dyDescent="0.2">
      <c r="B52" s="105" t="s">
        <v>436</v>
      </c>
      <c r="H52" s="129" t="s">
        <v>435</v>
      </c>
      <c r="I52" s="164">
        <v>1</v>
      </c>
      <c r="J52" s="164"/>
      <c r="K52" s="171"/>
    </row>
    <row r="53" spans="1:21" ht="8.4499999999999993" customHeight="1" x14ac:dyDescent="0.2">
      <c r="M53" s="160"/>
      <c r="N53" s="160"/>
      <c r="O53" s="160"/>
    </row>
    <row r="54" spans="1:21" x14ac:dyDescent="0.2">
      <c r="A54" s="105" t="s">
        <v>434</v>
      </c>
      <c r="B54" s="105" t="s">
        <v>433</v>
      </c>
      <c r="M54" s="160"/>
      <c r="N54" s="160"/>
      <c r="O54" s="160"/>
    </row>
    <row r="55" spans="1:21" x14ac:dyDescent="0.2">
      <c r="H55" s="105" t="s">
        <v>432</v>
      </c>
      <c r="M55" s="160"/>
      <c r="N55" s="160"/>
      <c r="O55" s="160"/>
    </row>
    <row r="56" spans="1:21" x14ac:dyDescent="0.2">
      <c r="B56" s="105" t="s">
        <v>431</v>
      </c>
      <c r="C56" s="105" t="s">
        <v>430</v>
      </c>
      <c r="M56" s="160"/>
      <c r="N56" s="160"/>
      <c r="O56" s="160"/>
    </row>
    <row r="57" spans="1:21" x14ac:dyDescent="0.2">
      <c r="C57" s="105" t="s">
        <v>429</v>
      </c>
      <c r="M57" s="160"/>
      <c r="N57" s="160"/>
      <c r="O57" s="160"/>
    </row>
    <row r="58" spans="1:21" ht="6.75" customHeight="1" x14ac:dyDescent="0.2">
      <c r="A58" s="175"/>
      <c r="B58" s="174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2"/>
      <c r="S58" s="172"/>
      <c r="T58" s="172"/>
    </row>
    <row r="59" spans="1:21" ht="17.100000000000001" customHeight="1" x14ac:dyDescent="0.2">
      <c r="A59" s="175"/>
      <c r="B59" s="142" t="s">
        <v>428</v>
      </c>
      <c r="C59" s="142"/>
      <c r="D59" s="180" t="s">
        <v>427</v>
      </c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</row>
    <row r="60" spans="1:21" ht="23.45" customHeight="1" x14ac:dyDescent="0.2">
      <c r="A60" s="175"/>
      <c r="B60" s="142"/>
      <c r="C60" s="142"/>
      <c r="D60" s="180" t="s">
        <v>385</v>
      </c>
      <c r="E60" s="180"/>
      <c r="F60" s="180"/>
      <c r="G60" s="180"/>
      <c r="H60" s="180"/>
      <c r="I60" s="180" t="s">
        <v>384</v>
      </c>
      <c r="J60" s="180"/>
      <c r="K60" s="180"/>
      <c r="L60" s="180"/>
      <c r="M60" s="180" t="s">
        <v>383</v>
      </c>
      <c r="N60" s="180"/>
      <c r="O60" s="180"/>
      <c r="P60" s="180"/>
      <c r="Q60" s="180" t="s">
        <v>382</v>
      </c>
      <c r="R60" s="180"/>
      <c r="S60" s="180"/>
      <c r="T60" s="179" t="s">
        <v>381</v>
      </c>
      <c r="U60" s="138" t="s">
        <v>426</v>
      </c>
    </row>
    <row r="61" spans="1:21" x14ac:dyDescent="0.2">
      <c r="A61" s="175"/>
      <c r="B61" s="178">
        <v>1</v>
      </c>
      <c r="C61" s="178"/>
      <c r="D61" s="177">
        <v>10</v>
      </c>
      <c r="E61" s="177"/>
      <c r="F61" s="177"/>
      <c r="G61" s="177"/>
      <c r="H61" s="177"/>
      <c r="I61" s="177">
        <v>3</v>
      </c>
      <c r="J61" s="177"/>
      <c r="K61" s="177"/>
      <c r="L61" s="177"/>
      <c r="M61" s="177">
        <v>10</v>
      </c>
      <c r="N61" s="177"/>
      <c r="O61" s="177"/>
      <c r="P61" s="177"/>
      <c r="Q61" s="177">
        <v>23</v>
      </c>
      <c r="R61" s="177"/>
      <c r="S61" s="177"/>
      <c r="T61" s="176">
        <v>28</v>
      </c>
      <c r="U61" s="176">
        <v>26</v>
      </c>
    </row>
    <row r="62" spans="1:21" ht="6" customHeight="1" x14ac:dyDescent="0.2">
      <c r="A62" s="175"/>
      <c r="B62" s="174"/>
      <c r="C62" s="173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</row>
    <row r="63" spans="1:21" ht="5.25" customHeight="1" x14ac:dyDescent="0.2">
      <c r="B63" s="129"/>
    </row>
    <row r="64" spans="1:21" hidden="1" x14ac:dyDescent="0.2">
      <c r="B64" s="129" t="s">
        <v>425</v>
      </c>
      <c r="C64" s="105" t="s">
        <v>424</v>
      </c>
    </row>
    <row r="65" spans="1:21" hidden="1" x14ac:dyDescent="0.2">
      <c r="B65" s="129" t="s">
        <v>423</v>
      </c>
      <c r="C65" s="105" t="s">
        <v>422</v>
      </c>
    </row>
    <row r="66" spans="1:21" hidden="1" x14ac:dyDescent="0.2">
      <c r="B66" s="129" t="s">
        <v>421</v>
      </c>
      <c r="C66" s="105" t="s">
        <v>420</v>
      </c>
    </row>
    <row r="67" spans="1:21" hidden="1" x14ac:dyDescent="0.2">
      <c r="B67" s="129" t="s">
        <v>419</v>
      </c>
      <c r="C67" s="105" t="s">
        <v>418</v>
      </c>
    </row>
    <row r="68" spans="1:21" hidden="1" x14ac:dyDescent="0.2">
      <c r="B68" s="129" t="s">
        <v>417</v>
      </c>
      <c r="C68" s="105" t="s">
        <v>416</v>
      </c>
    </row>
    <row r="69" spans="1:21" hidden="1" x14ac:dyDescent="0.2">
      <c r="B69" s="129" t="s">
        <v>415</v>
      </c>
      <c r="C69" s="105" t="s">
        <v>414</v>
      </c>
    </row>
    <row r="70" spans="1:21" ht="5.25" hidden="1" customHeight="1" x14ac:dyDescent="0.2"/>
    <row r="71" spans="1:21" hidden="1" x14ac:dyDescent="0.2">
      <c r="B71" s="105" t="s">
        <v>413</v>
      </c>
    </row>
    <row r="72" spans="1:21" ht="5.25" hidden="1" customHeight="1" x14ac:dyDescent="0.2">
      <c r="A72" s="129"/>
      <c r="B72" s="129"/>
      <c r="D72" s="161"/>
      <c r="E72" s="161"/>
      <c r="F72" s="161"/>
      <c r="G72" s="161"/>
      <c r="H72" s="161"/>
      <c r="I72" s="160"/>
      <c r="J72" s="160"/>
      <c r="K72" s="160"/>
      <c r="L72" s="160"/>
      <c r="M72" s="160"/>
      <c r="N72" s="160"/>
    </row>
    <row r="73" spans="1:21" x14ac:dyDescent="0.2">
      <c r="A73" s="129"/>
      <c r="B73" s="129"/>
      <c r="C73" s="129" t="s">
        <v>412</v>
      </c>
      <c r="D73" s="161" t="s">
        <v>398</v>
      </c>
      <c r="E73" s="165">
        <f>P45</f>
        <v>390.26</v>
      </c>
      <c r="F73" s="165"/>
      <c r="G73" s="165"/>
      <c r="H73" s="165"/>
      <c r="I73" s="161" t="s">
        <v>399</v>
      </c>
      <c r="J73" s="165">
        <f>D61/100</f>
        <v>0.1</v>
      </c>
      <c r="K73" s="165"/>
      <c r="L73" s="161" t="s">
        <v>399</v>
      </c>
      <c r="M73" s="165">
        <f>ROUND($I$52,2)</f>
        <v>1</v>
      </c>
      <c r="N73" s="164"/>
      <c r="O73" s="164"/>
      <c r="P73" s="160" t="s">
        <v>398</v>
      </c>
      <c r="Q73" s="164">
        <f>ROUND(M73*J73*E73,2)</f>
        <v>39.03</v>
      </c>
      <c r="R73" s="164"/>
      <c r="S73" s="164"/>
      <c r="T73" s="105" t="s">
        <v>10</v>
      </c>
    </row>
    <row r="74" spans="1:21" x14ac:dyDescent="0.2">
      <c r="A74" s="129"/>
      <c r="B74" s="129"/>
      <c r="C74" s="129" t="s">
        <v>411</v>
      </c>
      <c r="D74" s="161" t="s">
        <v>398</v>
      </c>
      <c r="E74" s="165">
        <f>P45</f>
        <v>390.26</v>
      </c>
      <c r="F74" s="165"/>
      <c r="G74" s="165"/>
      <c r="H74" s="165"/>
      <c r="I74" s="161" t="s">
        <v>399</v>
      </c>
      <c r="J74" s="165">
        <f>I61/100</f>
        <v>0.03</v>
      </c>
      <c r="K74" s="165"/>
      <c r="L74" s="161" t="s">
        <v>399</v>
      </c>
      <c r="M74" s="165">
        <f>ROUND($I$52,2)</f>
        <v>1</v>
      </c>
      <c r="N74" s="164"/>
      <c r="O74" s="164"/>
      <c r="P74" s="160" t="s">
        <v>398</v>
      </c>
      <c r="Q74" s="164">
        <f>ROUND(M74*J74*E74,2)</f>
        <v>11.71</v>
      </c>
      <c r="R74" s="164"/>
      <c r="S74" s="164"/>
      <c r="T74" s="105" t="s">
        <v>10</v>
      </c>
    </row>
    <row r="75" spans="1:21" x14ac:dyDescent="0.2">
      <c r="A75" s="129"/>
      <c r="B75" s="129"/>
      <c r="C75" s="129" t="s">
        <v>410</v>
      </c>
      <c r="D75" s="161" t="s">
        <v>398</v>
      </c>
      <c r="E75" s="165">
        <f>P45</f>
        <v>390.26</v>
      </c>
      <c r="F75" s="165"/>
      <c r="G75" s="165"/>
      <c r="H75" s="165"/>
      <c r="I75" s="161" t="s">
        <v>399</v>
      </c>
      <c r="J75" s="165">
        <f>M61/100</f>
        <v>0.1</v>
      </c>
      <c r="K75" s="165"/>
      <c r="L75" s="161" t="s">
        <v>399</v>
      </c>
      <c r="M75" s="165">
        <f>ROUND($I$52,2)</f>
        <v>1</v>
      </c>
      <c r="N75" s="164"/>
      <c r="O75" s="164"/>
      <c r="P75" s="160" t="s">
        <v>398</v>
      </c>
      <c r="Q75" s="164">
        <f>ROUND(M75*J75*E75,2)</f>
        <v>39.03</v>
      </c>
      <c r="R75" s="164"/>
      <c r="S75" s="164"/>
      <c r="T75" s="105" t="s">
        <v>10</v>
      </c>
    </row>
    <row r="76" spans="1:21" x14ac:dyDescent="0.2">
      <c r="A76" s="129"/>
      <c r="B76" s="129"/>
      <c r="C76" s="129" t="s">
        <v>409</v>
      </c>
      <c r="D76" s="161" t="s">
        <v>398</v>
      </c>
      <c r="E76" s="165">
        <f>P45</f>
        <v>390.26</v>
      </c>
      <c r="F76" s="165"/>
      <c r="G76" s="165"/>
      <c r="H76" s="165"/>
      <c r="I76" s="161" t="s">
        <v>399</v>
      </c>
      <c r="J76" s="165">
        <f>Q61/100</f>
        <v>0.23</v>
      </c>
      <c r="K76" s="165"/>
      <c r="L76" s="161" t="s">
        <v>399</v>
      </c>
      <c r="M76" s="165">
        <f>ROUND($N$51,2)</f>
        <v>1.1499999999999999</v>
      </c>
      <c r="N76" s="164"/>
      <c r="O76" s="164"/>
      <c r="P76" s="160" t="s">
        <v>398</v>
      </c>
      <c r="Q76" s="164">
        <f>ROUND(M76*J76*E76,2)</f>
        <v>103.22</v>
      </c>
      <c r="R76" s="164"/>
      <c r="S76" s="164"/>
      <c r="T76" s="105" t="s">
        <v>10</v>
      </c>
    </row>
    <row r="77" spans="1:21" x14ac:dyDescent="0.2">
      <c r="A77" s="129"/>
      <c r="B77" s="129"/>
      <c r="C77" s="129" t="s">
        <v>408</v>
      </c>
      <c r="D77" s="161" t="s">
        <v>398</v>
      </c>
      <c r="E77" s="165">
        <f>P45</f>
        <v>390.26</v>
      </c>
      <c r="F77" s="165"/>
      <c r="G77" s="165"/>
      <c r="H77" s="165"/>
      <c r="I77" s="161" t="s">
        <v>399</v>
      </c>
      <c r="J77" s="165">
        <f>T61/100</f>
        <v>0.28000000000000003</v>
      </c>
      <c r="K77" s="165"/>
      <c r="L77" s="161" t="s">
        <v>399</v>
      </c>
      <c r="M77" s="165">
        <f>ROUND($I$52,2)</f>
        <v>1</v>
      </c>
      <c r="N77" s="164"/>
      <c r="O77" s="164"/>
      <c r="P77" s="160" t="s">
        <v>398</v>
      </c>
      <c r="Q77" s="162">
        <f>ROUND(M77*J77*E77,2)</f>
        <v>109.27</v>
      </c>
      <c r="R77" s="162"/>
      <c r="S77" s="162"/>
      <c r="T77" s="105" t="s">
        <v>10</v>
      </c>
    </row>
    <row r="78" spans="1:21" x14ac:dyDescent="0.2">
      <c r="A78" s="129"/>
      <c r="B78" s="129"/>
      <c r="C78" s="129" t="s">
        <v>407</v>
      </c>
      <c r="D78" s="161" t="s">
        <v>398</v>
      </c>
      <c r="E78" s="165">
        <f>P45</f>
        <v>390.26</v>
      </c>
      <c r="F78" s="165"/>
      <c r="G78" s="165"/>
      <c r="H78" s="165"/>
      <c r="I78" s="161" t="s">
        <v>399</v>
      </c>
      <c r="J78" s="165">
        <f>U61/100</f>
        <v>0.26</v>
      </c>
      <c r="K78" s="165"/>
      <c r="L78" s="161" t="s">
        <v>399</v>
      </c>
      <c r="M78" s="165">
        <f>ROUND($N$51,2)</f>
        <v>1.1499999999999999</v>
      </c>
      <c r="N78" s="164"/>
      <c r="O78" s="164"/>
      <c r="P78" s="160" t="s">
        <v>398</v>
      </c>
      <c r="Q78" s="164">
        <f>ROUND(M78*J78*E78,2)</f>
        <v>116.69</v>
      </c>
      <c r="R78" s="164"/>
      <c r="S78" s="164"/>
      <c r="T78" s="105" t="s">
        <v>10</v>
      </c>
    </row>
    <row r="79" spans="1:21" ht="5.25" customHeight="1" x14ac:dyDescent="0.2"/>
    <row r="80" spans="1:21" x14ac:dyDescent="0.2"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171"/>
      <c r="S80" s="129" t="s">
        <v>406</v>
      </c>
      <c r="T80" s="170">
        <f>ROUND(Q73+Q74+Q75+Q76+Q77+Q78,2)</f>
        <v>418.95</v>
      </c>
      <c r="U80" s="105" t="s">
        <v>10</v>
      </c>
    </row>
    <row r="81" spans="1:27" ht="7.5" customHeight="1" x14ac:dyDescent="0.2"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  <c r="R81" s="169"/>
      <c r="S81" s="169"/>
      <c r="T81" s="117"/>
    </row>
    <row r="82" spans="1:27" x14ac:dyDescent="0.2">
      <c r="A82" s="159" t="s">
        <v>405</v>
      </c>
      <c r="B82" s="105" t="s">
        <v>404</v>
      </c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169"/>
      <c r="N82" s="169"/>
      <c r="O82" s="169"/>
      <c r="P82" s="169"/>
      <c r="Q82" s="169"/>
      <c r="R82" s="169"/>
      <c r="S82" s="169"/>
      <c r="T82" s="117"/>
    </row>
    <row r="83" spans="1:27" x14ac:dyDescent="0.2">
      <c r="B83" s="105" t="s">
        <v>403</v>
      </c>
      <c r="O83" s="160"/>
      <c r="P83" s="160"/>
      <c r="Q83" s="160"/>
    </row>
    <row r="84" spans="1:27" ht="1.5" customHeight="1" x14ac:dyDescent="0.2">
      <c r="O84" s="160"/>
      <c r="P84" s="160"/>
      <c r="Q84" s="160"/>
    </row>
    <row r="85" spans="1:27" s="110" customFormat="1" ht="37.5" customHeight="1" x14ac:dyDescent="0.2">
      <c r="F85" s="110" t="s">
        <v>402</v>
      </c>
      <c r="H85" s="168">
        <v>4.6059999999999999</v>
      </c>
      <c r="I85" s="168"/>
      <c r="J85" s="168"/>
      <c r="K85" s="167" t="s">
        <v>401</v>
      </c>
      <c r="L85" s="166"/>
      <c r="M85" s="166"/>
      <c r="N85" s="166"/>
      <c r="O85" s="166"/>
      <c r="P85" s="166"/>
      <c r="Q85" s="166"/>
      <c r="R85" s="166"/>
      <c r="S85" s="166"/>
      <c r="T85" s="166"/>
      <c r="U85" s="166"/>
    </row>
    <row r="86" spans="1:27" ht="6.75" customHeight="1" x14ac:dyDescent="0.2">
      <c r="B86" s="129"/>
    </row>
    <row r="87" spans="1:27" ht="15" customHeight="1" x14ac:dyDescent="0.2">
      <c r="B87" s="129"/>
      <c r="C87" s="129" t="s">
        <v>400</v>
      </c>
      <c r="D87" s="165">
        <f>T80</f>
        <v>418.95</v>
      </c>
      <c r="E87" s="164"/>
      <c r="F87" s="164"/>
      <c r="G87" s="164"/>
      <c r="H87" s="105" t="s">
        <v>399</v>
      </c>
      <c r="I87" s="163">
        <f>H85</f>
        <v>4.6059999999999999</v>
      </c>
      <c r="J87" s="163"/>
      <c r="K87" s="163"/>
      <c r="L87" s="105" t="s">
        <v>398</v>
      </c>
      <c r="M87" s="162">
        <f>ROUND(D87*I87,2)</f>
        <v>1929.68</v>
      </c>
      <c r="N87" s="162"/>
      <c r="O87" s="162"/>
      <c r="P87" s="162"/>
      <c r="Q87" s="105" t="s">
        <v>397</v>
      </c>
    </row>
    <row r="88" spans="1:27" ht="5.25" customHeight="1" x14ac:dyDescent="0.2">
      <c r="B88" s="129"/>
      <c r="C88" s="129"/>
      <c r="D88" s="161"/>
      <c r="E88" s="160"/>
      <c r="F88" s="160"/>
      <c r="G88" s="160"/>
      <c r="I88" s="160"/>
      <c r="J88" s="160"/>
      <c r="K88" s="160"/>
      <c r="M88" s="160"/>
      <c r="N88" s="160"/>
      <c r="O88" s="160"/>
      <c r="P88" s="160"/>
    </row>
    <row r="89" spans="1:27" x14ac:dyDescent="0.2">
      <c r="B89" s="105" t="s">
        <v>396</v>
      </c>
      <c r="AA89" s="151"/>
    </row>
    <row r="90" spans="1:27" x14ac:dyDescent="0.2">
      <c r="B90" s="105" t="s">
        <v>395</v>
      </c>
    </row>
    <row r="91" spans="1:27" ht="5.25" customHeight="1" x14ac:dyDescent="0.2"/>
    <row r="92" spans="1:27" x14ac:dyDescent="0.2">
      <c r="A92" s="159" t="s">
        <v>394</v>
      </c>
      <c r="B92" s="105" t="s">
        <v>393</v>
      </c>
    </row>
    <row r="93" spans="1:27" ht="6.75" customHeight="1" x14ac:dyDescent="0.2">
      <c r="B93" s="159"/>
      <c r="C93" s="158"/>
      <c r="T93" s="158"/>
    </row>
    <row r="94" spans="1:27" ht="3.2" customHeight="1" x14ac:dyDescent="0.2"/>
    <row r="95" spans="1:27" ht="12.75" hidden="1" customHeight="1" x14ac:dyDescent="0.2">
      <c r="C95" s="142" t="s">
        <v>392</v>
      </c>
      <c r="D95" s="132"/>
      <c r="E95" s="132"/>
      <c r="F95" s="132"/>
      <c r="G95" s="132"/>
      <c r="H95" s="132"/>
      <c r="I95" s="132"/>
      <c r="J95" s="132"/>
      <c r="K95" s="157"/>
      <c r="L95" s="157"/>
      <c r="M95" s="157"/>
    </row>
    <row r="96" spans="1:27" ht="22.7" hidden="1" customHeight="1" x14ac:dyDescent="0.2">
      <c r="C96" s="142"/>
      <c r="D96" s="132" t="s">
        <v>391</v>
      </c>
      <c r="E96" s="132"/>
      <c r="F96" s="132"/>
      <c r="G96" s="132"/>
      <c r="H96" s="132"/>
      <c r="I96" s="132"/>
      <c r="J96" s="132"/>
    </row>
    <row r="97" spans="1:21" hidden="1" x14ac:dyDescent="0.2">
      <c r="C97" s="142"/>
      <c r="D97" s="132" t="s">
        <v>38</v>
      </c>
      <c r="E97" s="132"/>
      <c r="F97" s="132"/>
      <c r="G97" s="132" t="s">
        <v>10</v>
      </c>
      <c r="H97" s="132"/>
      <c r="I97" s="132"/>
      <c r="J97" s="132"/>
    </row>
    <row r="98" spans="1:21" s="151" customFormat="1" hidden="1" x14ac:dyDescent="0.2">
      <c r="A98" s="110"/>
      <c r="B98" s="110"/>
      <c r="C98" s="155" t="s">
        <v>385</v>
      </c>
      <c r="D98" s="154">
        <v>70</v>
      </c>
      <c r="E98" s="153"/>
      <c r="F98" s="152"/>
      <c r="G98" s="149">
        <f>ROUND(Q73*H85*D98/100,2)</f>
        <v>125.84</v>
      </c>
      <c r="H98" s="149"/>
      <c r="I98" s="149"/>
      <c r="J98" s="149"/>
      <c r="K98" s="147"/>
      <c r="L98" s="110"/>
      <c r="M98" s="110"/>
      <c r="N98" s="110"/>
      <c r="O98" s="110"/>
      <c r="P98" s="110"/>
      <c r="Q98" s="110"/>
      <c r="R98" s="110"/>
      <c r="S98" s="110"/>
      <c r="T98" s="110"/>
      <c r="U98" s="110"/>
    </row>
    <row r="99" spans="1:21" s="151" customFormat="1" hidden="1" x14ac:dyDescent="0.2">
      <c r="A99" s="110"/>
      <c r="B99" s="110"/>
      <c r="C99" s="155" t="s">
        <v>384</v>
      </c>
      <c r="D99" s="154">
        <v>30</v>
      </c>
      <c r="E99" s="153"/>
      <c r="F99" s="152"/>
      <c r="G99" s="149">
        <f>ROUND(Q74*H85*D99/100,2)</f>
        <v>16.18</v>
      </c>
      <c r="H99" s="149"/>
      <c r="I99" s="149"/>
      <c r="J99" s="149"/>
      <c r="K99" s="147"/>
      <c r="L99" s="110"/>
      <c r="M99" s="110"/>
      <c r="N99" s="110"/>
      <c r="O99" s="110"/>
      <c r="P99" s="110"/>
      <c r="Q99" s="110"/>
      <c r="R99" s="156"/>
      <c r="S99" s="110"/>
      <c r="T99" s="110"/>
      <c r="U99" s="110"/>
    </row>
    <row r="100" spans="1:21" s="151" customFormat="1" hidden="1" x14ac:dyDescent="0.2">
      <c r="A100" s="110"/>
      <c r="B100" s="110"/>
      <c r="C100" s="155" t="s">
        <v>383</v>
      </c>
      <c r="D100" s="154">
        <v>40</v>
      </c>
      <c r="E100" s="153"/>
      <c r="F100" s="152"/>
      <c r="G100" s="149">
        <f>ROUND(Q75*H85*D100/100,2)</f>
        <v>71.91</v>
      </c>
      <c r="H100" s="149"/>
      <c r="I100" s="149"/>
      <c r="J100" s="149"/>
      <c r="K100" s="147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</row>
    <row r="101" spans="1:21" s="151" customFormat="1" hidden="1" x14ac:dyDescent="0.2">
      <c r="A101" s="110"/>
      <c r="B101" s="110"/>
      <c r="C101" s="155" t="s">
        <v>382</v>
      </c>
      <c r="D101" s="154">
        <v>40</v>
      </c>
      <c r="E101" s="153"/>
      <c r="F101" s="152"/>
      <c r="G101" s="149">
        <f>ROUND(Q76*H85*D101/100,2)</f>
        <v>190.17</v>
      </c>
      <c r="H101" s="149"/>
      <c r="I101" s="149"/>
      <c r="J101" s="149"/>
      <c r="K101" s="147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</row>
    <row r="102" spans="1:21" s="151" customFormat="1" hidden="1" x14ac:dyDescent="0.2">
      <c r="A102" s="110"/>
      <c r="B102" s="110"/>
      <c r="C102" s="155" t="s">
        <v>381</v>
      </c>
      <c r="D102" s="154">
        <v>30</v>
      </c>
      <c r="E102" s="153"/>
      <c r="F102" s="152"/>
      <c r="G102" s="149">
        <f>ROUND(Q77*H85*D102/100,2)</f>
        <v>150.99</v>
      </c>
      <c r="H102" s="149"/>
      <c r="I102" s="149"/>
      <c r="J102" s="149"/>
      <c r="K102" s="147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</row>
    <row r="103" spans="1:21" s="151" customFormat="1" hidden="1" x14ac:dyDescent="0.2">
      <c r="A103" s="110"/>
      <c r="B103" s="110"/>
      <c r="C103" s="155" t="s">
        <v>380</v>
      </c>
      <c r="D103" s="154">
        <v>30</v>
      </c>
      <c r="E103" s="153"/>
      <c r="F103" s="152"/>
      <c r="G103" s="149">
        <f>ROUND(Q78*H85*D103/100,2)</f>
        <v>161.24</v>
      </c>
      <c r="H103" s="149"/>
      <c r="I103" s="149"/>
      <c r="J103" s="149"/>
      <c r="K103" s="147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</row>
    <row r="104" spans="1:21" hidden="1" x14ac:dyDescent="0.2">
      <c r="A104" s="110"/>
      <c r="B104" s="110"/>
      <c r="C104" s="150" t="s">
        <v>379</v>
      </c>
      <c r="D104" s="148"/>
      <c r="E104" s="148"/>
      <c r="F104" s="148"/>
      <c r="G104" s="149">
        <f>ROUND(SUM(G98:G103),2)</f>
        <v>716.33</v>
      </c>
      <c r="H104" s="148"/>
      <c r="I104" s="148"/>
      <c r="J104" s="148"/>
      <c r="K104" s="147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</row>
    <row r="105" spans="1:21" ht="8.4499999999999993" hidden="1" customHeight="1" x14ac:dyDescent="0.2"/>
    <row r="106" spans="1:21" x14ac:dyDescent="0.2">
      <c r="C106" s="142" t="s">
        <v>390</v>
      </c>
      <c r="D106" s="146" t="s">
        <v>389</v>
      </c>
      <c r="E106" s="146"/>
      <c r="F106" s="146"/>
      <c r="G106" s="146"/>
      <c r="H106" s="146"/>
      <c r="I106" s="146"/>
      <c r="J106" s="146"/>
      <c r="K106" s="132" t="s">
        <v>388</v>
      </c>
      <c r="L106" s="132"/>
      <c r="M106" s="132"/>
      <c r="N106" s="132"/>
      <c r="O106" s="132"/>
      <c r="P106" s="132"/>
      <c r="Q106" s="132"/>
      <c r="R106" s="132"/>
      <c r="S106" s="132"/>
      <c r="T106" s="132"/>
    </row>
    <row r="107" spans="1:21" ht="24.75" customHeight="1" x14ac:dyDescent="0.2">
      <c r="C107" s="142"/>
      <c r="D107" s="146"/>
      <c r="E107" s="146"/>
      <c r="F107" s="146"/>
      <c r="G107" s="146"/>
      <c r="H107" s="146"/>
      <c r="I107" s="146"/>
      <c r="J107" s="146"/>
      <c r="K107" s="132" t="s">
        <v>387</v>
      </c>
      <c r="L107" s="132"/>
      <c r="M107" s="132"/>
      <c r="N107" s="132"/>
      <c r="O107" s="132"/>
      <c r="P107" s="132"/>
      <c r="Q107" s="132"/>
      <c r="R107" s="145" t="s">
        <v>386</v>
      </c>
      <c r="S107" s="144"/>
      <c r="T107" s="143"/>
    </row>
    <row r="108" spans="1:21" x14ac:dyDescent="0.2">
      <c r="C108" s="142"/>
      <c r="D108" s="141" t="s">
        <v>10</v>
      </c>
      <c r="E108" s="140"/>
      <c r="F108" s="140"/>
      <c r="G108" s="140"/>
      <c r="H108" s="140"/>
      <c r="I108" s="140"/>
      <c r="J108" s="139"/>
      <c r="K108" s="132" t="s">
        <v>38</v>
      </c>
      <c r="L108" s="132"/>
      <c r="M108" s="132"/>
      <c r="N108" s="132" t="s">
        <v>10</v>
      </c>
      <c r="O108" s="132"/>
      <c r="P108" s="132"/>
      <c r="Q108" s="132"/>
      <c r="R108" s="132" t="s">
        <v>38</v>
      </c>
      <c r="S108" s="132"/>
      <c r="T108" s="138" t="s">
        <v>10</v>
      </c>
    </row>
    <row r="109" spans="1:21" x14ac:dyDescent="0.2">
      <c r="C109" s="138" t="s">
        <v>385</v>
      </c>
      <c r="D109" s="137">
        <f>ROUND(Q73*H85,3)</f>
        <v>179.77199999999999</v>
      </c>
      <c r="E109" s="136"/>
      <c r="F109" s="136"/>
      <c r="G109" s="136"/>
      <c r="H109" s="136"/>
      <c r="I109" s="136"/>
      <c r="J109" s="135"/>
      <c r="K109" s="132">
        <v>0</v>
      </c>
      <c r="L109" s="132"/>
      <c r="M109" s="132"/>
      <c r="N109" s="133">
        <f>ROUND(D109*K109/100,3)</f>
        <v>0</v>
      </c>
      <c r="O109" s="133"/>
      <c r="P109" s="133"/>
      <c r="Q109" s="133"/>
      <c r="R109" s="132">
        <v>3</v>
      </c>
      <c r="S109" s="132"/>
      <c r="T109" s="131">
        <f>ROUND(D109*R109/100,2)</f>
        <v>5.39</v>
      </c>
      <c r="U109" s="130"/>
    </row>
    <row r="110" spans="1:21" x14ac:dyDescent="0.2">
      <c r="C110" s="138" t="s">
        <v>384</v>
      </c>
      <c r="D110" s="137">
        <f>ROUND(Q74*H85,3)</f>
        <v>53.936</v>
      </c>
      <c r="E110" s="136"/>
      <c r="F110" s="136"/>
      <c r="G110" s="136"/>
      <c r="H110" s="136"/>
      <c r="I110" s="136"/>
      <c r="J110" s="135"/>
      <c r="K110" s="132">
        <v>0</v>
      </c>
      <c r="L110" s="132"/>
      <c r="M110" s="132"/>
      <c r="N110" s="133">
        <f>ROUND(D110*K110/100,3)</f>
        <v>0</v>
      </c>
      <c r="O110" s="133"/>
      <c r="P110" s="133"/>
      <c r="Q110" s="133"/>
      <c r="R110" s="132">
        <v>0</v>
      </c>
      <c r="S110" s="132"/>
      <c r="T110" s="131">
        <f>ROUND(D110*R110/100,2)</f>
        <v>0</v>
      </c>
      <c r="U110" s="130"/>
    </row>
    <row r="111" spans="1:21" x14ac:dyDescent="0.2">
      <c r="C111" s="138" t="s">
        <v>383</v>
      </c>
      <c r="D111" s="137">
        <f>ROUND(Q75*H85,3)</f>
        <v>179.77199999999999</v>
      </c>
      <c r="E111" s="136"/>
      <c r="F111" s="136"/>
      <c r="G111" s="136"/>
      <c r="H111" s="136"/>
      <c r="I111" s="136"/>
      <c r="J111" s="135"/>
      <c r="K111" s="132">
        <v>0</v>
      </c>
      <c r="L111" s="132"/>
      <c r="M111" s="132"/>
      <c r="N111" s="133">
        <f>ROUND(D111*K111/100,3)</f>
        <v>0</v>
      </c>
      <c r="O111" s="133"/>
      <c r="P111" s="133"/>
      <c r="Q111" s="133"/>
      <c r="R111" s="132">
        <v>0</v>
      </c>
      <c r="S111" s="132"/>
      <c r="T111" s="131">
        <f>ROUND(D111*R111/100,2)</f>
        <v>0</v>
      </c>
      <c r="U111" s="130"/>
    </row>
    <row r="112" spans="1:21" x14ac:dyDescent="0.2">
      <c r="C112" s="138" t="s">
        <v>382</v>
      </c>
      <c r="D112" s="137">
        <f>ROUND(Q76*H85,3)</f>
        <v>475.43099999999998</v>
      </c>
      <c r="E112" s="136"/>
      <c r="F112" s="136"/>
      <c r="G112" s="136"/>
      <c r="H112" s="136"/>
      <c r="I112" s="136"/>
      <c r="J112" s="135"/>
      <c r="K112" s="132">
        <v>0</v>
      </c>
      <c r="L112" s="132"/>
      <c r="M112" s="132"/>
      <c r="N112" s="133">
        <f>ROUND(D112*K112/100,3)</f>
        <v>0</v>
      </c>
      <c r="O112" s="133"/>
      <c r="P112" s="133"/>
      <c r="Q112" s="133"/>
      <c r="R112" s="132">
        <v>17</v>
      </c>
      <c r="S112" s="132"/>
      <c r="T112" s="131">
        <f>ROUND(D112*R112/100,2)</f>
        <v>80.819999999999993</v>
      </c>
      <c r="U112" s="130"/>
    </row>
    <row r="113" spans="2:29" x14ac:dyDescent="0.2">
      <c r="C113" s="138" t="s">
        <v>381</v>
      </c>
      <c r="D113" s="137">
        <f>ROUND(Q77*H85,3)</f>
        <v>503.298</v>
      </c>
      <c r="E113" s="136"/>
      <c r="F113" s="136"/>
      <c r="G113" s="136"/>
      <c r="H113" s="136"/>
      <c r="I113" s="136"/>
      <c r="J113" s="135"/>
      <c r="K113" s="132">
        <v>0</v>
      </c>
      <c r="L113" s="132"/>
      <c r="M113" s="132"/>
      <c r="N113" s="133">
        <f>ROUND(D113*K113/100,3)</f>
        <v>0</v>
      </c>
      <c r="O113" s="133"/>
      <c r="P113" s="133"/>
      <c r="Q113" s="133"/>
      <c r="R113" s="132">
        <v>0</v>
      </c>
      <c r="S113" s="132"/>
      <c r="T113" s="131">
        <f>ROUND(D113*R113/100,2)</f>
        <v>0</v>
      </c>
      <c r="U113" s="130"/>
    </row>
    <row r="114" spans="2:29" x14ac:dyDescent="0.2">
      <c r="C114" s="138" t="s">
        <v>380</v>
      </c>
      <c r="D114" s="137">
        <f>ROUND(Q78*H85,3)</f>
        <v>537.47400000000005</v>
      </c>
      <c r="E114" s="136"/>
      <c r="F114" s="136"/>
      <c r="G114" s="136"/>
      <c r="H114" s="136"/>
      <c r="I114" s="136"/>
      <c r="J114" s="135"/>
      <c r="K114" s="132">
        <v>0</v>
      </c>
      <c r="L114" s="132"/>
      <c r="M114" s="132"/>
      <c r="N114" s="133">
        <f>ROUND(D114*K114/100,3)</f>
        <v>0</v>
      </c>
      <c r="O114" s="133"/>
      <c r="P114" s="133"/>
      <c r="Q114" s="133"/>
      <c r="R114" s="132">
        <v>0</v>
      </c>
      <c r="S114" s="132"/>
      <c r="T114" s="131">
        <f>ROUND(D114*R114/100,2)</f>
        <v>0</v>
      </c>
      <c r="U114" s="130"/>
    </row>
    <row r="115" spans="2:29" x14ac:dyDescent="0.2">
      <c r="C115" s="134" t="s">
        <v>379</v>
      </c>
      <c r="D115" s="133">
        <f>SUM(D109:J114)</f>
        <v>1929.683</v>
      </c>
      <c r="E115" s="133"/>
      <c r="F115" s="133"/>
      <c r="G115" s="133"/>
      <c r="H115" s="133"/>
      <c r="I115" s="133"/>
      <c r="J115" s="133"/>
      <c r="K115" s="132"/>
      <c r="L115" s="132"/>
      <c r="M115" s="132"/>
      <c r="N115" s="133">
        <f>ROUND(SUM(N109:N114),2)</f>
        <v>0</v>
      </c>
      <c r="O115" s="132"/>
      <c r="P115" s="132"/>
      <c r="Q115" s="132"/>
      <c r="R115" s="132"/>
      <c r="S115" s="132"/>
      <c r="T115" s="131">
        <f>ROUND(SUM(T109:T114),2)</f>
        <v>86.21</v>
      </c>
      <c r="U115" s="130"/>
    </row>
    <row r="116" spans="2:29" ht="15" customHeight="1" x14ac:dyDescent="0.2">
      <c r="B116" s="129"/>
    </row>
    <row r="117" spans="2:29" s="109" customFormat="1" ht="14.1" customHeight="1" x14ac:dyDescent="0.25">
      <c r="B117" s="105" t="s">
        <v>378</v>
      </c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27">
        <f>(N115+T115)*1000</f>
        <v>86210</v>
      </c>
      <c r="P117" s="127"/>
      <c r="Q117" s="127"/>
      <c r="R117" s="127"/>
      <c r="S117" s="127"/>
      <c r="T117" s="126" t="s">
        <v>374</v>
      </c>
      <c r="U117" s="126"/>
      <c r="V117" s="121"/>
      <c r="W117" s="121"/>
      <c r="X117" s="121"/>
      <c r="Y117" s="121"/>
      <c r="Z117" s="121"/>
      <c r="AA117" s="121"/>
      <c r="AB117" s="121"/>
      <c r="AC117" s="125"/>
    </row>
    <row r="118" spans="2:29" s="109" customFormat="1" ht="14.1" hidden="1" customHeight="1" x14ac:dyDescent="0.25">
      <c r="B118" s="105" t="s">
        <v>377</v>
      </c>
      <c r="C118" s="105"/>
      <c r="D118" s="105"/>
      <c r="E118" s="105"/>
      <c r="F118" s="105"/>
      <c r="G118" s="105"/>
      <c r="H118" s="128">
        <v>1</v>
      </c>
      <c r="I118" s="128"/>
      <c r="J118" s="128"/>
      <c r="K118" s="105"/>
      <c r="L118" s="105"/>
      <c r="M118" s="105"/>
      <c r="N118" s="105"/>
      <c r="O118" s="127">
        <f>ROUND(H118*O117,2)</f>
        <v>86210</v>
      </c>
      <c r="P118" s="127"/>
      <c r="Q118" s="127"/>
      <c r="R118" s="127"/>
      <c r="S118" s="127"/>
      <c r="T118" s="126" t="s">
        <v>374</v>
      </c>
      <c r="U118" s="126"/>
      <c r="V118" s="126"/>
      <c r="W118" s="126"/>
      <c r="X118" s="126"/>
      <c r="Y118" s="126"/>
      <c r="Z118" s="126"/>
      <c r="AA118" s="126"/>
      <c r="AB118" s="126"/>
      <c r="AC118" s="125"/>
    </row>
    <row r="119" spans="2:29" s="109" customFormat="1" ht="14.1" customHeight="1" x14ac:dyDescent="0.25">
      <c r="B119" s="110" t="s">
        <v>376</v>
      </c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25"/>
      <c r="O119" s="127">
        <f>ROUND(O118*0.2,2)</f>
        <v>17242</v>
      </c>
      <c r="P119" s="127"/>
      <c r="Q119" s="127"/>
      <c r="R119" s="127"/>
      <c r="S119" s="127"/>
      <c r="T119" s="126" t="s">
        <v>374</v>
      </c>
      <c r="U119" s="126"/>
      <c r="V119" s="126"/>
      <c r="W119" s="126"/>
      <c r="X119" s="126"/>
      <c r="Y119" s="126"/>
      <c r="Z119" s="126"/>
      <c r="AA119" s="126"/>
      <c r="AB119" s="126"/>
      <c r="AC119" s="125"/>
    </row>
    <row r="120" spans="2:29" s="123" customFormat="1" ht="14.1" customHeight="1" x14ac:dyDescent="0.2">
      <c r="B120" s="120" t="s">
        <v>375</v>
      </c>
      <c r="N120" s="120"/>
      <c r="O120" s="124">
        <f>O118+O119</f>
        <v>103452</v>
      </c>
      <c r="P120" s="124"/>
      <c r="Q120" s="124"/>
      <c r="R120" s="124"/>
      <c r="S120" s="124"/>
      <c r="T120" s="121" t="s">
        <v>374</v>
      </c>
      <c r="U120" s="121"/>
      <c r="V120" s="121"/>
      <c r="W120" s="120"/>
      <c r="AC120" s="120"/>
    </row>
    <row r="121" spans="2:29" ht="14.1" customHeight="1" x14ac:dyDescent="0.2">
      <c r="B121" s="120"/>
      <c r="C121" s="123"/>
      <c r="D121" s="123"/>
      <c r="E121" s="123"/>
      <c r="F121" s="123"/>
      <c r="G121" s="110"/>
      <c r="H121" s="122"/>
      <c r="I121" s="122"/>
      <c r="J121" s="122"/>
      <c r="K121" s="122"/>
      <c r="L121" s="122"/>
      <c r="M121" s="110"/>
      <c r="N121" s="121"/>
      <c r="O121" s="121"/>
      <c r="P121" s="121"/>
      <c r="Q121" s="121"/>
      <c r="R121" s="121"/>
      <c r="S121" s="121"/>
      <c r="T121" s="121"/>
      <c r="U121" s="121"/>
      <c r="V121" s="110"/>
      <c r="W121" s="110"/>
      <c r="X121" s="110"/>
      <c r="Y121" s="110"/>
      <c r="Z121" s="110"/>
      <c r="AA121" s="110"/>
      <c r="AB121" s="110"/>
    </row>
    <row r="122" spans="2:29" s="110" customFormat="1" ht="3.2" customHeight="1" x14ac:dyDescent="0.2">
      <c r="B122" s="120"/>
      <c r="C122" s="120"/>
      <c r="E122" s="119"/>
      <c r="F122" s="119"/>
      <c r="G122" s="119"/>
      <c r="H122" s="119"/>
      <c r="I122" s="119"/>
      <c r="K122" s="118"/>
      <c r="L122" s="118"/>
      <c r="M122" s="118"/>
      <c r="N122" s="118"/>
      <c r="O122" s="118"/>
      <c r="P122" s="118"/>
      <c r="Q122" s="118"/>
      <c r="R122" s="118"/>
      <c r="S122" s="118"/>
    </row>
    <row r="123" spans="2:29" s="110" customFormat="1" ht="10.5" customHeight="1" x14ac:dyDescent="0.2">
      <c r="B123" s="120"/>
      <c r="C123" s="120"/>
      <c r="E123" s="119"/>
      <c r="F123" s="119"/>
      <c r="G123" s="119"/>
      <c r="H123" s="119"/>
      <c r="I123" s="119"/>
      <c r="K123" s="118"/>
      <c r="L123" s="118"/>
      <c r="M123" s="118"/>
      <c r="N123" s="118"/>
      <c r="O123" s="118"/>
      <c r="P123" s="118"/>
      <c r="Q123" s="118"/>
      <c r="R123" s="118"/>
      <c r="S123" s="118"/>
      <c r="V123" s="105"/>
      <c r="W123" s="105"/>
      <c r="X123" s="105"/>
      <c r="Y123" s="105"/>
      <c r="Z123" s="105"/>
      <c r="AA123" s="105"/>
      <c r="AB123" s="105"/>
    </row>
    <row r="124" spans="2:29" ht="23.25" customHeight="1" x14ac:dyDescent="0.25">
      <c r="B124" s="110" t="s">
        <v>372</v>
      </c>
      <c r="C124" s="110"/>
      <c r="D124" s="114"/>
      <c r="E124" s="114"/>
      <c r="F124" s="114"/>
      <c r="G124" s="114"/>
      <c r="H124" s="114"/>
      <c r="I124" s="114"/>
      <c r="J124" s="115"/>
      <c r="K124" s="115"/>
      <c r="L124" s="114"/>
      <c r="M124" s="110"/>
      <c r="N124" s="111"/>
      <c r="O124" s="112"/>
      <c r="P124" s="112"/>
      <c r="Q124" s="111"/>
      <c r="R124" s="112"/>
      <c r="S124" s="111"/>
      <c r="T124" s="117"/>
      <c r="U124" s="116"/>
    </row>
    <row r="125" spans="2:29" ht="15.75" x14ac:dyDescent="0.25">
      <c r="B125" s="110"/>
      <c r="C125" s="110"/>
      <c r="D125" s="111"/>
      <c r="E125" s="111"/>
      <c r="F125" s="111"/>
      <c r="G125" s="111"/>
      <c r="H125" s="111"/>
      <c r="I125" s="111"/>
      <c r="J125" s="112"/>
      <c r="K125" s="112"/>
      <c r="L125" s="111"/>
      <c r="M125" s="111"/>
      <c r="N125" s="111"/>
      <c r="O125" s="112"/>
      <c r="P125" s="112"/>
      <c r="Q125" s="111"/>
      <c r="R125" s="112"/>
      <c r="S125" s="111"/>
      <c r="T125" s="112"/>
      <c r="U125" s="116"/>
    </row>
    <row r="126" spans="2:29" ht="15.75" hidden="1" customHeight="1" x14ac:dyDescent="0.25">
      <c r="C126" s="108"/>
    </row>
    <row r="127" spans="2:29" ht="23.25" customHeight="1" x14ac:dyDescent="0.25">
      <c r="B127" s="110" t="s">
        <v>373</v>
      </c>
      <c r="C127" s="110"/>
      <c r="D127" s="114"/>
      <c r="E127" s="114"/>
      <c r="F127" s="114"/>
      <c r="G127" s="114"/>
      <c r="H127" s="114"/>
      <c r="I127" s="114"/>
      <c r="J127" s="115"/>
      <c r="K127" s="115"/>
      <c r="L127" s="114"/>
      <c r="M127" s="110"/>
      <c r="N127" s="111"/>
      <c r="O127" s="112"/>
      <c r="P127" s="112"/>
      <c r="Q127" s="111"/>
      <c r="R127" s="112"/>
      <c r="S127" s="111"/>
      <c r="T127" s="117"/>
      <c r="U127" s="116"/>
    </row>
    <row r="128" spans="2:29" ht="24" hidden="1" customHeight="1" x14ac:dyDescent="0.25">
      <c r="B128" s="110" t="s">
        <v>372</v>
      </c>
      <c r="C128" s="110"/>
      <c r="D128" s="113"/>
      <c r="E128" s="113"/>
      <c r="F128" s="113"/>
      <c r="G128" s="113"/>
      <c r="H128" s="113"/>
      <c r="I128" s="113"/>
      <c r="J128" s="110"/>
      <c r="K128" s="110"/>
      <c r="L128" s="113"/>
      <c r="M128" s="113"/>
      <c r="N128" s="114"/>
      <c r="O128" s="115"/>
      <c r="P128" s="115"/>
      <c r="Q128" s="114"/>
      <c r="R128" s="115"/>
      <c r="S128" s="114"/>
      <c r="T128" s="110"/>
      <c r="U128" s="109"/>
    </row>
    <row r="129" spans="2:21" ht="15.75" x14ac:dyDescent="0.25">
      <c r="B129" s="110"/>
      <c r="C129" s="110"/>
      <c r="D129" s="113"/>
      <c r="E129" s="113"/>
      <c r="F129" s="113"/>
      <c r="G129" s="113"/>
      <c r="H129" s="113"/>
      <c r="I129" s="113"/>
      <c r="J129" s="110"/>
      <c r="K129" s="110"/>
      <c r="L129" s="113"/>
      <c r="M129" s="113"/>
      <c r="N129" s="111"/>
      <c r="O129" s="112"/>
      <c r="P129" s="112"/>
      <c r="Q129" s="111"/>
      <c r="R129" s="112"/>
      <c r="S129" s="111"/>
      <c r="T129" s="110"/>
      <c r="U129" s="109"/>
    </row>
    <row r="130" spans="2:21" ht="15.75" hidden="1" customHeight="1" x14ac:dyDescent="0.25">
      <c r="C130" s="108"/>
    </row>
    <row r="132" spans="2:21" x14ac:dyDescent="0.2">
      <c r="C132" s="107"/>
    </row>
    <row r="133" spans="2:21" x14ac:dyDescent="0.2">
      <c r="E133" s="106"/>
      <c r="F133" s="106"/>
    </row>
  </sheetData>
  <mergeCells count="151">
    <mergeCell ref="L34:N34"/>
    <mergeCell ref="O34:R34"/>
    <mergeCell ref="S34:T34"/>
    <mergeCell ref="AJ32:AL32"/>
    <mergeCell ref="AM32:AP32"/>
    <mergeCell ref="C33:K33"/>
    <mergeCell ref="L33:N33"/>
    <mergeCell ref="O33:R33"/>
    <mergeCell ref="S33:U33"/>
    <mergeCell ref="AA33:AI33"/>
    <mergeCell ref="AJ33:AL33"/>
    <mergeCell ref="AM33:AP33"/>
    <mergeCell ref="C32:K32"/>
    <mergeCell ref="L32:N32"/>
    <mergeCell ref="O32:R32"/>
    <mergeCell ref="S32:U32"/>
    <mergeCell ref="W32:Y33"/>
    <mergeCell ref="AA32:AI32"/>
    <mergeCell ref="C30:K30"/>
    <mergeCell ref="L30:N30"/>
    <mergeCell ref="O30:R30"/>
    <mergeCell ref="S30:U30"/>
    <mergeCell ref="C31:K31"/>
    <mergeCell ref="L31:N31"/>
    <mergeCell ref="O31:R31"/>
    <mergeCell ref="S31:U31"/>
    <mergeCell ref="O119:S119"/>
    <mergeCell ref="O120:S120"/>
    <mergeCell ref="E133:F133"/>
    <mergeCell ref="D115:J115"/>
    <mergeCell ref="K115:M115"/>
    <mergeCell ref="N115:Q115"/>
    <mergeCell ref="R115:S115"/>
    <mergeCell ref="O117:S117"/>
    <mergeCell ref="H118:J118"/>
    <mergeCell ref="O118:S118"/>
    <mergeCell ref="D113:J113"/>
    <mergeCell ref="K113:M113"/>
    <mergeCell ref="N113:Q113"/>
    <mergeCell ref="R113:S113"/>
    <mergeCell ref="D114:J114"/>
    <mergeCell ref="K114:M114"/>
    <mergeCell ref="N114:Q114"/>
    <mergeCell ref="R114:S114"/>
    <mergeCell ref="D111:J111"/>
    <mergeCell ref="K111:M111"/>
    <mergeCell ref="N111:Q111"/>
    <mergeCell ref="R111:S111"/>
    <mergeCell ref="D112:J112"/>
    <mergeCell ref="K112:M112"/>
    <mergeCell ref="N112:Q112"/>
    <mergeCell ref="R112:S112"/>
    <mergeCell ref="R108:S108"/>
    <mergeCell ref="D109:J109"/>
    <mergeCell ref="K109:M109"/>
    <mergeCell ref="N109:Q109"/>
    <mergeCell ref="R109:S109"/>
    <mergeCell ref="D110:J110"/>
    <mergeCell ref="K110:M110"/>
    <mergeCell ref="N110:Q110"/>
    <mergeCell ref="R110:S110"/>
    <mergeCell ref="D104:F104"/>
    <mergeCell ref="G104:J104"/>
    <mergeCell ref="C106:C108"/>
    <mergeCell ref="D106:J107"/>
    <mergeCell ref="K106:T106"/>
    <mergeCell ref="K107:Q107"/>
    <mergeCell ref="R107:T107"/>
    <mergeCell ref="D108:J108"/>
    <mergeCell ref="K108:M108"/>
    <mergeCell ref="N108:Q108"/>
    <mergeCell ref="D101:F101"/>
    <mergeCell ref="G101:J101"/>
    <mergeCell ref="D102:F102"/>
    <mergeCell ref="G102:J102"/>
    <mergeCell ref="D103:F103"/>
    <mergeCell ref="G103:J103"/>
    <mergeCell ref="D98:F98"/>
    <mergeCell ref="G98:J98"/>
    <mergeCell ref="D99:F99"/>
    <mergeCell ref="G99:J99"/>
    <mergeCell ref="D100:F100"/>
    <mergeCell ref="G100:J100"/>
    <mergeCell ref="D87:G87"/>
    <mergeCell ref="I87:K87"/>
    <mergeCell ref="M87:P87"/>
    <mergeCell ref="C95:C97"/>
    <mergeCell ref="D95:J95"/>
    <mergeCell ref="D96:J96"/>
    <mergeCell ref="D97:F97"/>
    <mergeCell ref="G97:J97"/>
    <mergeCell ref="E78:H78"/>
    <mergeCell ref="J78:K78"/>
    <mergeCell ref="M78:O78"/>
    <mergeCell ref="Q78:S78"/>
    <mergeCell ref="H85:J85"/>
    <mergeCell ref="K85:U85"/>
    <mergeCell ref="E76:H76"/>
    <mergeCell ref="J76:K76"/>
    <mergeCell ref="M76:O76"/>
    <mergeCell ref="Q76:S76"/>
    <mergeCell ref="E77:H77"/>
    <mergeCell ref="J77:K77"/>
    <mergeCell ref="M77:O77"/>
    <mergeCell ref="Q77:S77"/>
    <mergeCell ref="E74:H74"/>
    <mergeCell ref="J74:K74"/>
    <mergeCell ref="M74:O74"/>
    <mergeCell ref="Q74:S74"/>
    <mergeCell ref="E75:H75"/>
    <mergeCell ref="J75:K75"/>
    <mergeCell ref="M75:O75"/>
    <mergeCell ref="Q75:S75"/>
    <mergeCell ref="B61:C61"/>
    <mergeCell ref="D61:H61"/>
    <mergeCell ref="I61:L61"/>
    <mergeCell ref="M61:P61"/>
    <mergeCell ref="Q61:S61"/>
    <mergeCell ref="E73:H73"/>
    <mergeCell ref="J73:K73"/>
    <mergeCell ref="M73:O73"/>
    <mergeCell ref="Q73:S73"/>
    <mergeCell ref="I52:J52"/>
    <mergeCell ref="B59:C60"/>
    <mergeCell ref="D59:U59"/>
    <mergeCell ref="D60:H60"/>
    <mergeCell ref="I60:L60"/>
    <mergeCell ref="M60:P60"/>
    <mergeCell ref="Q60:S60"/>
    <mergeCell ref="H45:J45"/>
    <mergeCell ref="L45:N45"/>
    <mergeCell ref="P45:R45"/>
    <mergeCell ref="P48:Q48"/>
    <mergeCell ref="I50:K50"/>
    <mergeCell ref="I51:J51"/>
    <mergeCell ref="D39:E39"/>
    <mergeCell ref="G39:I39"/>
    <mergeCell ref="K39:L39"/>
    <mergeCell ref="N39:O39"/>
    <mergeCell ref="Q39:R39"/>
    <mergeCell ref="D41:E41"/>
    <mergeCell ref="G41:I41"/>
    <mergeCell ref="K41:L41"/>
    <mergeCell ref="N41:P41"/>
    <mergeCell ref="L1:U1"/>
    <mergeCell ref="K2:U2"/>
    <mergeCell ref="A3:U3"/>
    <mergeCell ref="B7:U7"/>
    <mergeCell ref="A13:U13"/>
    <mergeCell ref="B16:U16"/>
    <mergeCell ref="D6:U6"/>
  </mergeCells>
  <pageMargins left="0.7" right="0.7" top="0.75" bottom="0.75" header="0.3" footer="0.3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24"/>
  <sheetViews>
    <sheetView topLeftCell="A7" workbookViewId="0">
      <selection activeCell="F30" sqref="F30"/>
    </sheetView>
  </sheetViews>
  <sheetFormatPr defaultColWidth="9.140625" defaultRowHeight="12.75" x14ac:dyDescent="0.2"/>
  <cols>
    <col min="1" max="256" width="9.140625" style="27" customWidth="1"/>
    <col min="257" max="16384" width="9.140625" style="27"/>
  </cols>
  <sheetData>
    <row r="1" spans="1:133" x14ac:dyDescent="0.2">
      <c r="A1" s="27">
        <v>0</v>
      </c>
      <c r="B1" s="27" t="s">
        <v>247</v>
      </c>
      <c r="D1" s="27" t="s">
        <v>246</v>
      </c>
      <c r="F1" s="27">
        <v>0</v>
      </c>
      <c r="G1" s="27">
        <v>0</v>
      </c>
      <c r="H1" s="27">
        <v>0</v>
      </c>
      <c r="I1" s="27" t="s">
        <v>245</v>
      </c>
      <c r="J1" s="27" t="s">
        <v>244</v>
      </c>
      <c r="K1" s="27">
        <v>1</v>
      </c>
      <c r="L1" s="27">
        <v>43766</v>
      </c>
      <c r="M1" s="27">
        <v>10</v>
      </c>
      <c r="N1" s="27">
        <v>11</v>
      </c>
      <c r="O1" s="27">
        <v>3</v>
      </c>
      <c r="P1" s="27">
        <v>2</v>
      </c>
      <c r="Q1" s="27">
        <v>5</v>
      </c>
    </row>
    <row r="12" spans="1:133" x14ac:dyDescent="0.2">
      <c r="A12" s="101">
        <v>1</v>
      </c>
      <c r="B12" s="101">
        <v>219</v>
      </c>
      <c r="C12" s="101">
        <v>0</v>
      </c>
      <c r="D12" s="101">
        <f>ROW(A167)</f>
        <v>167</v>
      </c>
      <c r="E12" s="101">
        <v>0</v>
      </c>
      <c r="F12" s="101" t="s">
        <v>243</v>
      </c>
      <c r="G12" s="101" t="s">
        <v>242</v>
      </c>
      <c r="H12" s="101" t="s">
        <v>74</v>
      </c>
      <c r="I12" s="101">
        <v>0</v>
      </c>
      <c r="J12" s="101" t="s">
        <v>74</v>
      </c>
      <c r="K12" s="101">
        <v>0</v>
      </c>
      <c r="L12" s="101">
        <v>0</v>
      </c>
      <c r="M12" s="101">
        <v>11</v>
      </c>
      <c r="N12" s="101"/>
      <c r="O12" s="101">
        <v>0</v>
      </c>
      <c r="P12" s="101">
        <v>0</v>
      </c>
      <c r="Q12" s="101">
        <v>0</v>
      </c>
      <c r="R12" s="101">
        <v>0</v>
      </c>
      <c r="S12" s="101"/>
      <c r="T12" s="101">
        <v>4</v>
      </c>
      <c r="U12" s="101" t="s">
        <v>74</v>
      </c>
      <c r="V12" s="101">
        <v>0</v>
      </c>
      <c r="W12" s="101" t="s">
        <v>74</v>
      </c>
      <c r="X12" s="101" t="s">
        <v>74</v>
      </c>
      <c r="Y12" s="101" t="s">
        <v>74</v>
      </c>
      <c r="Z12" s="101" t="s">
        <v>74</v>
      </c>
      <c r="AA12" s="101" t="s">
        <v>74</v>
      </c>
      <c r="AB12" s="101" t="s">
        <v>74</v>
      </c>
      <c r="AC12" s="101" t="s">
        <v>74</v>
      </c>
      <c r="AD12" s="101" t="s">
        <v>74</v>
      </c>
      <c r="AE12" s="101" t="s">
        <v>74</v>
      </c>
      <c r="AF12" s="101" t="s">
        <v>74</v>
      </c>
      <c r="AG12" s="101" t="s">
        <v>74</v>
      </c>
      <c r="AH12" s="101" t="s">
        <v>74</v>
      </c>
      <c r="AI12" s="101" t="s">
        <v>74</v>
      </c>
      <c r="AJ12" s="101" t="s">
        <v>74</v>
      </c>
      <c r="AK12" s="101"/>
      <c r="AL12" s="101" t="s">
        <v>74</v>
      </c>
      <c r="AM12" s="101" t="s">
        <v>74</v>
      </c>
      <c r="AN12" s="101" t="s">
        <v>74</v>
      </c>
      <c r="AO12" s="101"/>
      <c r="AP12" s="101" t="s">
        <v>74</v>
      </c>
      <c r="AQ12" s="101" t="s">
        <v>74</v>
      </c>
      <c r="AR12" s="101" t="s">
        <v>74</v>
      </c>
      <c r="AS12" s="101"/>
      <c r="AT12" s="101"/>
      <c r="AU12" s="101"/>
      <c r="AV12" s="101"/>
      <c r="AW12" s="101"/>
      <c r="AX12" s="101" t="s">
        <v>74</v>
      </c>
      <c r="AY12" s="101" t="s">
        <v>74</v>
      </c>
      <c r="AZ12" s="101" t="s">
        <v>74</v>
      </c>
      <c r="BA12" s="101"/>
      <c r="BB12" s="101">
        <v>0</v>
      </c>
      <c r="BC12" s="101"/>
      <c r="BD12" s="101"/>
      <c r="BE12" s="101"/>
      <c r="BF12" s="101"/>
      <c r="BG12" s="101"/>
      <c r="BH12" s="101" t="s">
        <v>241</v>
      </c>
      <c r="BI12" s="101" t="s">
        <v>240</v>
      </c>
      <c r="BJ12" s="101">
        <v>1</v>
      </c>
      <c r="BK12" s="101">
        <v>1</v>
      </c>
      <c r="BL12" s="101">
        <v>0</v>
      </c>
      <c r="BM12" s="101">
        <v>0</v>
      </c>
      <c r="BN12" s="101">
        <v>1</v>
      </c>
      <c r="BO12" s="101">
        <v>0</v>
      </c>
      <c r="BP12" s="101">
        <v>6</v>
      </c>
      <c r="BQ12" s="101">
        <v>0</v>
      </c>
      <c r="BR12" s="101">
        <v>1</v>
      </c>
      <c r="BS12" s="101">
        <v>1</v>
      </c>
      <c r="BT12" s="101">
        <v>0</v>
      </c>
      <c r="BU12" s="101">
        <v>0</v>
      </c>
      <c r="BV12" s="101">
        <v>0</v>
      </c>
      <c r="BW12" s="101">
        <v>0</v>
      </c>
      <c r="BX12" s="101">
        <v>0</v>
      </c>
      <c r="BY12" s="101" t="s">
        <v>239</v>
      </c>
      <c r="BZ12" s="101" t="s">
        <v>238</v>
      </c>
      <c r="CA12" s="101" t="s">
        <v>237</v>
      </c>
      <c r="CB12" s="101" t="s">
        <v>237</v>
      </c>
      <c r="CC12" s="101" t="s">
        <v>237</v>
      </c>
      <c r="CD12" s="101" t="s">
        <v>237</v>
      </c>
      <c r="CE12" s="101" t="s">
        <v>236</v>
      </c>
      <c r="CF12" s="101">
        <v>0</v>
      </c>
      <c r="CG12" s="101">
        <v>0</v>
      </c>
      <c r="CH12" s="101">
        <v>403374088</v>
      </c>
      <c r="CI12" s="101" t="s">
        <v>74</v>
      </c>
      <c r="CJ12" s="101" t="s">
        <v>74</v>
      </c>
      <c r="CK12" s="101">
        <v>7</v>
      </c>
      <c r="CL12" s="101" t="s">
        <v>235</v>
      </c>
      <c r="CM12" s="101" t="s">
        <v>234</v>
      </c>
      <c r="CN12" s="101">
        <v>44375</v>
      </c>
      <c r="CO12" s="101">
        <v>382</v>
      </c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>
        <v>0</v>
      </c>
    </row>
    <row r="15" spans="1:133" x14ac:dyDescent="0.2">
      <c r="A15" s="101">
        <v>15</v>
      </c>
      <c r="B15" s="101">
        <v>1</v>
      </c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101"/>
      <c r="CV15" s="101"/>
      <c r="CW15" s="101"/>
      <c r="CX15" s="101"/>
      <c r="CY15" s="101"/>
      <c r="CZ15" s="101"/>
      <c r="DA15" s="101"/>
      <c r="DB15" s="101"/>
      <c r="DC15" s="101"/>
      <c r="DD15" s="101"/>
      <c r="DE15" s="101"/>
      <c r="DF15" s="101"/>
      <c r="DG15" s="101"/>
      <c r="DH15" s="101"/>
      <c r="DI15" s="101"/>
      <c r="DJ15" s="101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</row>
    <row r="18" spans="1:245" x14ac:dyDescent="0.2">
      <c r="A18" s="100">
        <v>52</v>
      </c>
      <c r="B18" s="100">
        <f>B167</f>
        <v>219</v>
      </c>
      <c r="C18" s="100">
        <f>C167</f>
        <v>1</v>
      </c>
      <c r="D18" s="100">
        <f>D167</f>
        <v>12</v>
      </c>
      <c r="E18" s="100">
        <f>E167</f>
        <v>0</v>
      </c>
      <c r="F18" s="100" t="str">
        <f>F167</f>
        <v>Новый объект</v>
      </c>
      <c r="G18" s="100" t="str">
        <f>G167</f>
        <v>реклоузер на ВЛ-10 кВ ф.189-04 г Волосово (20-1-08-1-03-04-2-0301)</v>
      </c>
      <c r="H18" s="100"/>
      <c r="I18" s="100"/>
      <c r="J18" s="100"/>
      <c r="K18" s="100"/>
      <c r="L18" s="100"/>
      <c r="M18" s="100"/>
      <c r="N18" s="100"/>
      <c r="O18" s="100">
        <f>O167</f>
        <v>310429</v>
      </c>
      <c r="P18" s="100">
        <f>P167</f>
        <v>215893</v>
      </c>
      <c r="Q18" s="100">
        <f>Q167</f>
        <v>651</v>
      </c>
      <c r="R18" s="100">
        <f>R167</f>
        <v>211</v>
      </c>
      <c r="S18" s="100">
        <f>S167</f>
        <v>93885</v>
      </c>
      <c r="T18" s="100">
        <f>T167</f>
        <v>0</v>
      </c>
      <c r="U18" s="100">
        <f>U167</f>
        <v>256.52350000000001</v>
      </c>
      <c r="V18" s="100">
        <f>V167</f>
        <v>0.77059999999999995</v>
      </c>
      <c r="W18" s="100">
        <f>W167</f>
        <v>0</v>
      </c>
      <c r="X18" s="100">
        <f>X167</f>
        <v>70534</v>
      </c>
      <c r="Y18" s="100">
        <f>Y167</f>
        <v>34590</v>
      </c>
      <c r="Z18" s="100">
        <f>Z167</f>
        <v>0</v>
      </c>
      <c r="AA18" s="100">
        <f>AA167</f>
        <v>0</v>
      </c>
      <c r="AB18" s="100">
        <f>AB167</f>
        <v>0</v>
      </c>
      <c r="AC18" s="100">
        <f>AC167</f>
        <v>0</v>
      </c>
      <c r="AD18" s="100">
        <f>AD167</f>
        <v>0</v>
      </c>
      <c r="AE18" s="100">
        <f>AE167</f>
        <v>0</v>
      </c>
      <c r="AF18" s="100">
        <f>AF167</f>
        <v>0</v>
      </c>
      <c r="AG18" s="100">
        <f>AG167</f>
        <v>0</v>
      </c>
      <c r="AH18" s="100">
        <f>AH167</f>
        <v>0</v>
      </c>
      <c r="AI18" s="100">
        <f>AI167</f>
        <v>0</v>
      </c>
      <c r="AJ18" s="100">
        <f>AJ167</f>
        <v>0</v>
      </c>
      <c r="AK18" s="100">
        <f>AK167</f>
        <v>0</v>
      </c>
      <c r="AL18" s="100">
        <f>AL167</f>
        <v>0</v>
      </c>
      <c r="AM18" s="100">
        <f>AM167</f>
        <v>0</v>
      </c>
      <c r="AN18" s="100">
        <f>AN167</f>
        <v>0</v>
      </c>
      <c r="AO18" s="100">
        <f>AO167</f>
        <v>0</v>
      </c>
      <c r="AP18" s="100">
        <f>AP167</f>
        <v>213805</v>
      </c>
      <c r="AQ18" s="100">
        <f>AQ167</f>
        <v>0</v>
      </c>
      <c r="AR18" s="100">
        <f>AR167</f>
        <v>415553</v>
      </c>
      <c r="AS18" s="100">
        <f>AS167</f>
        <v>0</v>
      </c>
      <c r="AT18" s="100">
        <f>AT167</f>
        <v>13357</v>
      </c>
      <c r="AU18" s="100">
        <f>AU167</f>
        <v>188391</v>
      </c>
      <c r="AV18" s="100">
        <f>AV167</f>
        <v>215893</v>
      </c>
      <c r="AW18" s="100">
        <f>AW167</f>
        <v>2088</v>
      </c>
      <c r="AX18" s="100">
        <f>AX167</f>
        <v>0</v>
      </c>
      <c r="AY18" s="100">
        <f>AY167</f>
        <v>2088</v>
      </c>
      <c r="AZ18" s="100">
        <f>AZ167</f>
        <v>213805</v>
      </c>
      <c r="BA18" s="100">
        <f>BA167</f>
        <v>0</v>
      </c>
      <c r="BB18" s="100">
        <f>BB167</f>
        <v>0</v>
      </c>
      <c r="BC18" s="100">
        <f>BC167</f>
        <v>0</v>
      </c>
      <c r="BD18" s="100">
        <f>BD167</f>
        <v>0</v>
      </c>
      <c r="BE18" s="100">
        <f>BE167</f>
        <v>0</v>
      </c>
      <c r="BF18" s="100">
        <f>BF167</f>
        <v>0</v>
      </c>
      <c r="BG18" s="100">
        <f>BG167</f>
        <v>0</v>
      </c>
      <c r="BH18" s="100">
        <f>BH167</f>
        <v>0</v>
      </c>
      <c r="BI18" s="100">
        <f>BI167</f>
        <v>0</v>
      </c>
      <c r="BJ18" s="100">
        <f>BJ167</f>
        <v>0</v>
      </c>
      <c r="BK18" s="100">
        <f>BK167</f>
        <v>0</v>
      </c>
      <c r="BL18" s="100">
        <f>BL167</f>
        <v>0</v>
      </c>
      <c r="BM18" s="100">
        <f>BM167</f>
        <v>0</v>
      </c>
      <c r="BN18" s="100">
        <f>BN167</f>
        <v>0</v>
      </c>
      <c r="BO18" s="100">
        <f>BO167</f>
        <v>0</v>
      </c>
      <c r="BP18" s="100">
        <f>BP167</f>
        <v>0</v>
      </c>
      <c r="BQ18" s="100">
        <f>BQ167</f>
        <v>0</v>
      </c>
      <c r="BR18" s="100">
        <f>BR167</f>
        <v>0</v>
      </c>
      <c r="BS18" s="100">
        <f>BS167</f>
        <v>0</v>
      </c>
      <c r="BT18" s="100">
        <f>BT167</f>
        <v>0</v>
      </c>
      <c r="BU18" s="100">
        <f>BU167</f>
        <v>0</v>
      </c>
      <c r="BV18" s="100">
        <f>BV167</f>
        <v>0</v>
      </c>
      <c r="BW18" s="100">
        <f>BW167</f>
        <v>0</v>
      </c>
      <c r="BX18" s="100">
        <f>BX167</f>
        <v>0</v>
      </c>
      <c r="BY18" s="100">
        <f>BY167</f>
        <v>0</v>
      </c>
      <c r="BZ18" s="100">
        <f>BZ167</f>
        <v>0</v>
      </c>
      <c r="CA18" s="100">
        <f>CA167</f>
        <v>0</v>
      </c>
      <c r="CB18" s="100">
        <f>CB167</f>
        <v>0</v>
      </c>
      <c r="CC18" s="100">
        <f>CC167</f>
        <v>0</v>
      </c>
      <c r="CD18" s="100">
        <f>CD167</f>
        <v>0</v>
      </c>
      <c r="CE18" s="100">
        <f>CE167</f>
        <v>0</v>
      </c>
      <c r="CF18" s="100">
        <f>CF167</f>
        <v>0</v>
      </c>
      <c r="CG18" s="100">
        <f>CG167</f>
        <v>0</v>
      </c>
      <c r="CH18" s="100">
        <f>CH167</f>
        <v>0</v>
      </c>
      <c r="CI18" s="100">
        <f>CI167</f>
        <v>0</v>
      </c>
      <c r="CJ18" s="100">
        <f>CJ167</f>
        <v>0</v>
      </c>
      <c r="CK18" s="100">
        <f>CK167</f>
        <v>0</v>
      </c>
      <c r="CL18" s="100">
        <f>CL167</f>
        <v>0</v>
      </c>
      <c r="CM18" s="100">
        <f>CM167</f>
        <v>0</v>
      </c>
      <c r="CN18" s="100">
        <f>CN167</f>
        <v>0</v>
      </c>
      <c r="CO18" s="100">
        <f>CO167</f>
        <v>0</v>
      </c>
      <c r="CP18" s="100">
        <f>CP167</f>
        <v>0</v>
      </c>
      <c r="CQ18" s="100">
        <f>CQ167</f>
        <v>0</v>
      </c>
      <c r="CR18" s="100">
        <f>CR167</f>
        <v>0</v>
      </c>
      <c r="CS18" s="100">
        <f>CS167</f>
        <v>0</v>
      </c>
      <c r="CT18" s="100">
        <f>CT167</f>
        <v>0</v>
      </c>
      <c r="CU18" s="100">
        <f>CU167</f>
        <v>0</v>
      </c>
      <c r="CV18" s="100">
        <f>CV167</f>
        <v>0</v>
      </c>
      <c r="CW18" s="100">
        <f>CW167</f>
        <v>0</v>
      </c>
      <c r="CX18" s="100">
        <f>CX167</f>
        <v>0</v>
      </c>
      <c r="CY18" s="100">
        <f>CY167</f>
        <v>0</v>
      </c>
      <c r="CZ18" s="100">
        <f>CZ167</f>
        <v>0</v>
      </c>
      <c r="DA18" s="100">
        <f>DA167</f>
        <v>0</v>
      </c>
      <c r="DB18" s="100">
        <f>DB167</f>
        <v>0</v>
      </c>
      <c r="DC18" s="100">
        <f>DC167</f>
        <v>0</v>
      </c>
      <c r="DD18" s="100">
        <f>DD167</f>
        <v>0</v>
      </c>
      <c r="DE18" s="100">
        <f>DE167</f>
        <v>0</v>
      </c>
      <c r="DF18" s="100">
        <f>DF167</f>
        <v>0</v>
      </c>
      <c r="DG18" s="98">
        <f>DG167</f>
        <v>0</v>
      </c>
      <c r="DH18" s="98">
        <f>DH167</f>
        <v>0</v>
      </c>
      <c r="DI18" s="98">
        <f>DI167</f>
        <v>0</v>
      </c>
      <c r="DJ18" s="98">
        <f>DJ167</f>
        <v>0</v>
      </c>
      <c r="DK18" s="98">
        <f>DK167</f>
        <v>0</v>
      </c>
      <c r="DL18" s="98">
        <f>DL167</f>
        <v>0</v>
      </c>
      <c r="DM18" s="98">
        <f>DM167</f>
        <v>0</v>
      </c>
      <c r="DN18" s="98">
        <f>DN167</f>
        <v>0</v>
      </c>
      <c r="DO18" s="98">
        <f>DO167</f>
        <v>0</v>
      </c>
      <c r="DP18" s="98">
        <f>DP167</f>
        <v>0</v>
      </c>
      <c r="DQ18" s="98">
        <f>DQ167</f>
        <v>0</v>
      </c>
      <c r="DR18" s="98">
        <f>DR167</f>
        <v>0</v>
      </c>
      <c r="DS18" s="98">
        <f>DS167</f>
        <v>0</v>
      </c>
      <c r="DT18" s="98">
        <f>DT167</f>
        <v>0</v>
      </c>
      <c r="DU18" s="98">
        <f>DU167</f>
        <v>0</v>
      </c>
      <c r="DV18" s="98">
        <f>DV167</f>
        <v>0</v>
      </c>
      <c r="DW18" s="98">
        <f>DW167</f>
        <v>0</v>
      </c>
      <c r="DX18" s="98">
        <f>DX167</f>
        <v>0</v>
      </c>
      <c r="DY18" s="98">
        <f>DY167</f>
        <v>0</v>
      </c>
      <c r="DZ18" s="98">
        <f>DZ167</f>
        <v>0</v>
      </c>
      <c r="EA18" s="98">
        <f>EA167</f>
        <v>0</v>
      </c>
      <c r="EB18" s="98">
        <f>EB167</f>
        <v>0</v>
      </c>
      <c r="EC18" s="98">
        <f>EC167</f>
        <v>0</v>
      </c>
      <c r="ED18" s="98">
        <f>ED167</f>
        <v>0</v>
      </c>
      <c r="EE18" s="98">
        <f>EE167</f>
        <v>0</v>
      </c>
      <c r="EF18" s="98">
        <f>EF167</f>
        <v>0</v>
      </c>
      <c r="EG18" s="98">
        <f>EG167</f>
        <v>0</v>
      </c>
      <c r="EH18" s="98">
        <f>EH167</f>
        <v>0</v>
      </c>
      <c r="EI18" s="98">
        <f>EI167</f>
        <v>0</v>
      </c>
      <c r="EJ18" s="98">
        <f>EJ167</f>
        <v>0</v>
      </c>
      <c r="EK18" s="98">
        <f>EK167</f>
        <v>0</v>
      </c>
      <c r="EL18" s="98">
        <f>EL167</f>
        <v>0</v>
      </c>
      <c r="EM18" s="98">
        <f>EM167</f>
        <v>0</v>
      </c>
      <c r="EN18" s="98">
        <f>EN167</f>
        <v>0</v>
      </c>
      <c r="EO18" s="98">
        <f>EO167</f>
        <v>0</v>
      </c>
      <c r="EP18" s="98">
        <f>EP167</f>
        <v>0</v>
      </c>
      <c r="EQ18" s="98">
        <f>EQ167</f>
        <v>0</v>
      </c>
      <c r="ER18" s="98">
        <f>ER167</f>
        <v>0</v>
      </c>
      <c r="ES18" s="98">
        <f>ES167</f>
        <v>0</v>
      </c>
      <c r="ET18" s="98">
        <f>ET167</f>
        <v>0</v>
      </c>
      <c r="EU18" s="98">
        <f>EU167</f>
        <v>0</v>
      </c>
      <c r="EV18" s="98">
        <f>EV167</f>
        <v>0</v>
      </c>
      <c r="EW18" s="98">
        <f>EW167</f>
        <v>0</v>
      </c>
      <c r="EX18" s="98">
        <f>EX167</f>
        <v>0</v>
      </c>
      <c r="EY18" s="98">
        <f>EY167</f>
        <v>0</v>
      </c>
      <c r="EZ18" s="98">
        <f>EZ167</f>
        <v>0</v>
      </c>
      <c r="FA18" s="98">
        <f>FA167</f>
        <v>0</v>
      </c>
      <c r="FB18" s="98">
        <f>FB167</f>
        <v>0</v>
      </c>
      <c r="FC18" s="98">
        <f>FC167</f>
        <v>0</v>
      </c>
      <c r="FD18" s="98">
        <f>FD167</f>
        <v>0</v>
      </c>
      <c r="FE18" s="98">
        <f>FE167</f>
        <v>0</v>
      </c>
      <c r="FF18" s="98">
        <f>FF167</f>
        <v>0</v>
      </c>
      <c r="FG18" s="98">
        <f>FG167</f>
        <v>0</v>
      </c>
      <c r="FH18" s="98">
        <f>FH167</f>
        <v>0</v>
      </c>
      <c r="FI18" s="98">
        <f>FI167</f>
        <v>0</v>
      </c>
      <c r="FJ18" s="98">
        <f>FJ167</f>
        <v>0</v>
      </c>
      <c r="FK18" s="98">
        <f>FK167</f>
        <v>0</v>
      </c>
      <c r="FL18" s="98">
        <f>FL167</f>
        <v>0</v>
      </c>
      <c r="FM18" s="98">
        <f>FM167</f>
        <v>0</v>
      </c>
      <c r="FN18" s="98">
        <f>FN167</f>
        <v>0</v>
      </c>
      <c r="FO18" s="98">
        <f>FO167</f>
        <v>0</v>
      </c>
      <c r="FP18" s="98">
        <f>FP167</f>
        <v>0</v>
      </c>
      <c r="FQ18" s="98">
        <f>FQ167</f>
        <v>0</v>
      </c>
      <c r="FR18" s="98">
        <f>FR167</f>
        <v>0</v>
      </c>
      <c r="FS18" s="98">
        <f>FS167</f>
        <v>0</v>
      </c>
      <c r="FT18" s="98">
        <f>FT167</f>
        <v>0</v>
      </c>
      <c r="FU18" s="98">
        <f>FU167</f>
        <v>0</v>
      </c>
      <c r="FV18" s="98">
        <f>FV167</f>
        <v>0</v>
      </c>
      <c r="FW18" s="98">
        <f>FW167</f>
        <v>0</v>
      </c>
      <c r="FX18" s="98">
        <f>FX167</f>
        <v>0</v>
      </c>
      <c r="FY18" s="98">
        <f>FY167</f>
        <v>0</v>
      </c>
      <c r="FZ18" s="98">
        <f>FZ167</f>
        <v>0</v>
      </c>
      <c r="GA18" s="98">
        <f>GA167</f>
        <v>0</v>
      </c>
      <c r="GB18" s="98">
        <f>GB167</f>
        <v>0</v>
      </c>
      <c r="GC18" s="98">
        <f>GC167</f>
        <v>0</v>
      </c>
      <c r="GD18" s="98">
        <f>GD167</f>
        <v>0</v>
      </c>
      <c r="GE18" s="98">
        <f>GE167</f>
        <v>0</v>
      </c>
      <c r="GF18" s="98">
        <f>GF167</f>
        <v>0</v>
      </c>
      <c r="GG18" s="98">
        <f>GG167</f>
        <v>0</v>
      </c>
      <c r="GH18" s="98">
        <f>GH167</f>
        <v>0</v>
      </c>
      <c r="GI18" s="98">
        <f>GI167</f>
        <v>0</v>
      </c>
      <c r="GJ18" s="98">
        <f>GJ167</f>
        <v>0</v>
      </c>
      <c r="GK18" s="98">
        <f>GK167</f>
        <v>0</v>
      </c>
      <c r="GL18" s="98">
        <f>GL167</f>
        <v>0</v>
      </c>
      <c r="GM18" s="98">
        <f>GM167</f>
        <v>0</v>
      </c>
      <c r="GN18" s="98">
        <f>GN167</f>
        <v>0</v>
      </c>
      <c r="GO18" s="98">
        <f>GO167</f>
        <v>0</v>
      </c>
      <c r="GP18" s="98">
        <f>GP167</f>
        <v>0</v>
      </c>
      <c r="GQ18" s="98">
        <f>GQ167</f>
        <v>0</v>
      </c>
      <c r="GR18" s="98">
        <f>GR167</f>
        <v>0</v>
      </c>
      <c r="GS18" s="98">
        <f>GS167</f>
        <v>0</v>
      </c>
      <c r="GT18" s="98">
        <f>GT167</f>
        <v>0</v>
      </c>
      <c r="GU18" s="98">
        <f>GU167</f>
        <v>0</v>
      </c>
      <c r="GV18" s="98">
        <f>GV167</f>
        <v>0</v>
      </c>
      <c r="GW18" s="98">
        <f>GW167</f>
        <v>0</v>
      </c>
      <c r="GX18" s="98">
        <f>GX167</f>
        <v>0</v>
      </c>
    </row>
    <row r="20" spans="1:245" x14ac:dyDescent="0.2">
      <c r="A20" s="101">
        <v>3</v>
      </c>
      <c r="B20" s="101">
        <v>1</v>
      </c>
      <c r="C20" s="101"/>
      <c r="D20" s="101">
        <f>ROW(A137)</f>
        <v>137</v>
      </c>
      <c r="E20" s="101"/>
      <c r="F20" s="101" t="s">
        <v>233</v>
      </c>
      <c r="G20" s="101" t="s">
        <v>233</v>
      </c>
      <c r="H20" s="101" t="s">
        <v>74</v>
      </c>
      <c r="I20" s="101">
        <v>0</v>
      </c>
      <c r="J20" s="101" t="s">
        <v>74</v>
      </c>
      <c r="K20" s="101">
        <v>0</v>
      </c>
      <c r="L20" s="101" t="s">
        <v>74</v>
      </c>
      <c r="M20" s="101" t="s">
        <v>74</v>
      </c>
      <c r="N20" s="101"/>
      <c r="O20" s="101"/>
      <c r="P20" s="101"/>
      <c r="Q20" s="101"/>
      <c r="R20" s="101"/>
      <c r="S20" s="101">
        <v>0</v>
      </c>
      <c r="T20" s="101"/>
      <c r="U20" s="101" t="s">
        <v>74</v>
      </c>
      <c r="V20" s="101">
        <v>0</v>
      </c>
      <c r="W20" s="101"/>
      <c r="X20" s="101"/>
      <c r="Y20" s="101"/>
      <c r="Z20" s="101"/>
      <c r="AA20" s="101"/>
      <c r="AB20" s="101" t="s">
        <v>74</v>
      </c>
      <c r="AC20" s="101" t="s">
        <v>74</v>
      </c>
      <c r="AD20" s="101" t="s">
        <v>74</v>
      </c>
      <c r="AE20" s="101" t="s">
        <v>74</v>
      </c>
      <c r="AF20" s="101" t="s">
        <v>74</v>
      </c>
      <c r="AG20" s="101" t="s">
        <v>74</v>
      </c>
      <c r="AH20" s="101"/>
      <c r="AI20" s="101"/>
      <c r="AJ20" s="101"/>
      <c r="AK20" s="101"/>
      <c r="AL20" s="101"/>
      <c r="AM20" s="101"/>
      <c r="AN20" s="101"/>
      <c r="AO20" s="101"/>
      <c r="AP20" s="101" t="s">
        <v>74</v>
      </c>
      <c r="AQ20" s="101" t="s">
        <v>74</v>
      </c>
      <c r="AR20" s="101" t="s">
        <v>74</v>
      </c>
      <c r="AS20" s="101"/>
      <c r="AT20" s="101"/>
      <c r="AU20" s="101"/>
      <c r="AV20" s="101"/>
      <c r="AW20" s="101"/>
      <c r="AX20" s="101"/>
      <c r="AY20" s="101"/>
      <c r="AZ20" s="101" t="s">
        <v>74</v>
      </c>
      <c r="BA20" s="101"/>
      <c r="BB20" s="101" t="s">
        <v>74</v>
      </c>
      <c r="BC20" s="101" t="s">
        <v>74</v>
      </c>
      <c r="BD20" s="101" t="s">
        <v>74</v>
      </c>
      <c r="BE20" s="101" t="s">
        <v>74</v>
      </c>
      <c r="BF20" s="101" t="s">
        <v>74</v>
      </c>
      <c r="BG20" s="101" t="s">
        <v>74</v>
      </c>
      <c r="BH20" s="101" t="s">
        <v>74</v>
      </c>
      <c r="BI20" s="101" t="s">
        <v>74</v>
      </c>
      <c r="BJ20" s="101" t="s">
        <v>74</v>
      </c>
      <c r="BK20" s="101" t="s">
        <v>74</v>
      </c>
      <c r="BL20" s="101" t="s">
        <v>74</v>
      </c>
      <c r="BM20" s="101" t="s">
        <v>74</v>
      </c>
      <c r="BN20" s="101" t="s">
        <v>74</v>
      </c>
      <c r="BO20" s="101" t="s">
        <v>74</v>
      </c>
      <c r="BP20" s="101" t="s">
        <v>74</v>
      </c>
      <c r="BQ20" s="101"/>
      <c r="BR20" s="101"/>
      <c r="BS20" s="101"/>
      <c r="BT20" s="101"/>
      <c r="BU20" s="101"/>
      <c r="BV20" s="101"/>
      <c r="BW20" s="101"/>
      <c r="BX20" s="101">
        <v>0</v>
      </c>
      <c r="BY20" s="101"/>
      <c r="BZ20" s="101"/>
      <c r="CA20" s="101"/>
      <c r="CB20" s="101"/>
      <c r="CC20" s="101"/>
      <c r="CD20" s="101"/>
      <c r="CE20" s="101"/>
      <c r="CF20" s="101">
        <v>0</v>
      </c>
      <c r="CG20" s="101">
        <v>0</v>
      </c>
      <c r="CH20" s="101"/>
      <c r="CI20" s="101" t="s">
        <v>74</v>
      </c>
      <c r="CJ20" s="101" t="s">
        <v>74</v>
      </c>
      <c r="CK20" s="27" t="s">
        <v>74</v>
      </c>
      <c r="CL20" s="27" t="s">
        <v>74</v>
      </c>
      <c r="CM20" s="27" t="s">
        <v>74</v>
      </c>
      <c r="CN20" s="27" t="s">
        <v>74</v>
      </c>
      <c r="CO20" s="27" t="s">
        <v>74</v>
      </c>
      <c r="CP20" s="27" t="s">
        <v>74</v>
      </c>
      <c r="CQ20" s="27" t="s">
        <v>74</v>
      </c>
    </row>
    <row r="22" spans="1:245" x14ac:dyDescent="0.2">
      <c r="A22" s="100">
        <v>52</v>
      </c>
      <c r="B22" s="100">
        <f>B137</f>
        <v>1</v>
      </c>
      <c r="C22" s="100">
        <f>C137</f>
        <v>3</v>
      </c>
      <c r="D22" s="100">
        <f>D137</f>
        <v>20</v>
      </c>
      <c r="E22" s="100">
        <f>E137</f>
        <v>0</v>
      </c>
      <c r="F22" s="100" t="str">
        <f>F137</f>
        <v>Новая локальная смета</v>
      </c>
      <c r="G22" s="100" t="str">
        <f>G137</f>
        <v>Новая локальная смета</v>
      </c>
      <c r="H22" s="100"/>
      <c r="I22" s="100"/>
      <c r="J22" s="100"/>
      <c r="K22" s="100"/>
      <c r="L22" s="100"/>
      <c r="M22" s="100"/>
      <c r="N22" s="100"/>
      <c r="O22" s="100">
        <f>O137</f>
        <v>310429</v>
      </c>
      <c r="P22" s="100">
        <f>P137</f>
        <v>215893</v>
      </c>
      <c r="Q22" s="100">
        <f>Q137</f>
        <v>651</v>
      </c>
      <c r="R22" s="100">
        <f>R137</f>
        <v>211</v>
      </c>
      <c r="S22" s="100">
        <f>S137</f>
        <v>93885</v>
      </c>
      <c r="T22" s="100">
        <f>T137</f>
        <v>0</v>
      </c>
      <c r="U22" s="100">
        <f>U137</f>
        <v>256.52350000000001</v>
      </c>
      <c r="V22" s="100">
        <f>V137</f>
        <v>0.77059999999999995</v>
      </c>
      <c r="W22" s="100">
        <f>W137</f>
        <v>0</v>
      </c>
      <c r="X22" s="100">
        <f>X137</f>
        <v>70534</v>
      </c>
      <c r="Y22" s="100">
        <f>Y137</f>
        <v>34590</v>
      </c>
      <c r="Z22" s="100">
        <f>Z137</f>
        <v>0</v>
      </c>
      <c r="AA22" s="100">
        <f>AA137</f>
        <v>0</v>
      </c>
      <c r="AB22" s="100">
        <f>AB137</f>
        <v>0</v>
      </c>
      <c r="AC22" s="100">
        <f>AC137</f>
        <v>0</v>
      </c>
      <c r="AD22" s="100">
        <f>AD137</f>
        <v>0</v>
      </c>
      <c r="AE22" s="100">
        <f>AE137</f>
        <v>0</v>
      </c>
      <c r="AF22" s="100">
        <f>AF137</f>
        <v>0</v>
      </c>
      <c r="AG22" s="100">
        <f>AG137</f>
        <v>0</v>
      </c>
      <c r="AH22" s="100">
        <f>AH137</f>
        <v>0</v>
      </c>
      <c r="AI22" s="100">
        <f>AI137</f>
        <v>0</v>
      </c>
      <c r="AJ22" s="100">
        <f>AJ137</f>
        <v>0</v>
      </c>
      <c r="AK22" s="100">
        <f>AK137</f>
        <v>0</v>
      </c>
      <c r="AL22" s="100">
        <f>AL137</f>
        <v>0</v>
      </c>
      <c r="AM22" s="100">
        <f>AM137</f>
        <v>0</v>
      </c>
      <c r="AN22" s="100">
        <f>AN137</f>
        <v>0</v>
      </c>
      <c r="AO22" s="100">
        <f>AO137</f>
        <v>0</v>
      </c>
      <c r="AP22" s="100">
        <f>AP137</f>
        <v>213805</v>
      </c>
      <c r="AQ22" s="100">
        <f>AQ137</f>
        <v>0</v>
      </c>
      <c r="AR22" s="100">
        <f>AR137</f>
        <v>415553</v>
      </c>
      <c r="AS22" s="100">
        <f>AS137</f>
        <v>0</v>
      </c>
      <c r="AT22" s="100">
        <f>AT137</f>
        <v>13357</v>
      </c>
      <c r="AU22" s="100">
        <f>AU137</f>
        <v>188391</v>
      </c>
      <c r="AV22" s="100">
        <f>AV137</f>
        <v>215893</v>
      </c>
      <c r="AW22" s="100">
        <f>AW137</f>
        <v>2088</v>
      </c>
      <c r="AX22" s="100">
        <f>AX137</f>
        <v>0</v>
      </c>
      <c r="AY22" s="100">
        <f>AY137</f>
        <v>2088</v>
      </c>
      <c r="AZ22" s="100">
        <f>AZ137</f>
        <v>213805</v>
      </c>
      <c r="BA22" s="100">
        <f>BA137</f>
        <v>0</v>
      </c>
      <c r="BB22" s="100">
        <f>BB137</f>
        <v>0</v>
      </c>
      <c r="BC22" s="100">
        <f>BC137</f>
        <v>0</v>
      </c>
      <c r="BD22" s="100">
        <f>BD137</f>
        <v>0</v>
      </c>
      <c r="BE22" s="100">
        <f>BE137</f>
        <v>0</v>
      </c>
      <c r="BF22" s="100">
        <f>BF137</f>
        <v>0</v>
      </c>
      <c r="BG22" s="100">
        <f>BG137</f>
        <v>0</v>
      </c>
      <c r="BH22" s="100">
        <f>BH137</f>
        <v>0</v>
      </c>
      <c r="BI22" s="100">
        <f>BI137</f>
        <v>0</v>
      </c>
      <c r="BJ22" s="100">
        <f>BJ137</f>
        <v>0</v>
      </c>
      <c r="BK22" s="100">
        <f>BK137</f>
        <v>0</v>
      </c>
      <c r="BL22" s="100">
        <f>BL137</f>
        <v>0</v>
      </c>
      <c r="BM22" s="100">
        <f>BM137</f>
        <v>0</v>
      </c>
      <c r="BN22" s="100">
        <f>BN137</f>
        <v>0</v>
      </c>
      <c r="BO22" s="100">
        <f>BO137</f>
        <v>0</v>
      </c>
      <c r="BP22" s="100">
        <f>BP137</f>
        <v>0</v>
      </c>
      <c r="BQ22" s="100">
        <f>BQ137</f>
        <v>0</v>
      </c>
      <c r="BR22" s="100">
        <f>BR137</f>
        <v>0</v>
      </c>
      <c r="BS22" s="100">
        <f>BS137</f>
        <v>0</v>
      </c>
      <c r="BT22" s="100">
        <f>BT137</f>
        <v>0</v>
      </c>
      <c r="BU22" s="100">
        <f>BU137</f>
        <v>0</v>
      </c>
      <c r="BV22" s="100">
        <f>BV137</f>
        <v>0</v>
      </c>
      <c r="BW22" s="100">
        <f>BW137</f>
        <v>0</v>
      </c>
      <c r="BX22" s="100">
        <f>BX137</f>
        <v>0</v>
      </c>
      <c r="BY22" s="100">
        <f>BY137</f>
        <v>0</v>
      </c>
      <c r="BZ22" s="100">
        <f>BZ137</f>
        <v>0</v>
      </c>
      <c r="CA22" s="100">
        <f>CA137</f>
        <v>0</v>
      </c>
      <c r="CB22" s="100">
        <f>CB137</f>
        <v>0</v>
      </c>
      <c r="CC22" s="100">
        <f>CC137</f>
        <v>0</v>
      </c>
      <c r="CD22" s="100">
        <f>CD137</f>
        <v>0</v>
      </c>
      <c r="CE22" s="100">
        <f>CE137</f>
        <v>0</v>
      </c>
      <c r="CF22" s="100">
        <f>CF137</f>
        <v>0</v>
      </c>
      <c r="CG22" s="100">
        <f>CG137</f>
        <v>0</v>
      </c>
      <c r="CH22" s="100">
        <f>CH137</f>
        <v>0</v>
      </c>
      <c r="CI22" s="100">
        <f>CI137</f>
        <v>0</v>
      </c>
      <c r="CJ22" s="100">
        <f>CJ137</f>
        <v>0</v>
      </c>
      <c r="CK22" s="100">
        <f>CK137</f>
        <v>0</v>
      </c>
      <c r="CL22" s="100">
        <f>CL137</f>
        <v>0</v>
      </c>
      <c r="CM22" s="100">
        <f>CM137</f>
        <v>0</v>
      </c>
      <c r="CN22" s="100">
        <f>CN137</f>
        <v>0</v>
      </c>
      <c r="CO22" s="100">
        <f>CO137</f>
        <v>0</v>
      </c>
      <c r="CP22" s="100">
        <f>CP137</f>
        <v>0</v>
      </c>
      <c r="CQ22" s="100">
        <f>CQ137</f>
        <v>0</v>
      </c>
      <c r="CR22" s="100">
        <f>CR137</f>
        <v>0</v>
      </c>
      <c r="CS22" s="100">
        <f>CS137</f>
        <v>0</v>
      </c>
      <c r="CT22" s="100">
        <f>CT137</f>
        <v>0</v>
      </c>
      <c r="CU22" s="100">
        <f>CU137</f>
        <v>0</v>
      </c>
      <c r="CV22" s="100">
        <f>CV137</f>
        <v>0</v>
      </c>
      <c r="CW22" s="100">
        <f>CW137</f>
        <v>0</v>
      </c>
      <c r="CX22" s="100">
        <f>CX137</f>
        <v>0</v>
      </c>
      <c r="CY22" s="100">
        <f>CY137</f>
        <v>0</v>
      </c>
      <c r="CZ22" s="100">
        <f>CZ137</f>
        <v>0</v>
      </c>
      <c r="DA22" s="100">
        <f>DA137</f>
        <v>0</v>
      </c>
      <c r="DB22" s="100">
        <f>DB137</f>
        <v>0</v>
      </c>
      <c r="DC22" s="100">
        <f>DC137</f>
        <v>0</v>
      </c>
      <c r="DD22" s="100">
        <f>DD137</f>
        <v>0</v>
      </c>
      <c r="DE22" s="100">
        <f>DE137</f>
        <v>0</v>
      </c>
      <c r="DF22" s="100">
        <f>DF137</f>
        <v>0</v>
      </c>
      <c r="DG22" s="98">
        <f>DG137</f>
        <v>0</v>
      </c>
      <c r="DH22" s="98">
        <f>DH137</f>
        <v>0</v>
      </c>
      <c r="DI22" s="98">
        <f>DI137</f>
        <v>0</v>
      </c>
      <c r="DJ22" s="98">
        <f>DJ137</f>
        <v>0</v>
      </c>
      <c r="DK22" s="98">
        <f>DK137</f>
        <v>0</v>
      </c>
      <c r="DL22" s="98">
        <f>DL137</f>
        <v>0</v>
      </c>
      <c r="DM22" s="98">
        <f>DM137</f>
        <v>0</v>
      </c>
      <c r="DN22" s="98">
        <f>DN137</f>
        <v>0</v>
      </c>
      <c r="DO22" s="98">
        <f>DO137</f>
        <v>0</v>
      </c>
      <c r="DP22" s="98">
        <f>DP137</f>
        <v>0</v>
      </c>
      <c r="DQ22" s="98">
        <f>DQ137</f>
        <v>0</v>
      </c>
      <c r="DR22" s="98">
        <f>DR137</f>
        <v>0</v>
      </c>
      <c r="DS22" s="98">
        <f>DS137</f>
        <v>0</v>
      </c>
      <c r="DT22" s="98">
        <f>DT137</f>
        <v>0</v>
      </c>
      <c r="DU22" s="98">
        <f>DU137</f>
        <v>0</v>
      </c>
      <c r="DV22" s="98">
        <f>DV137</f>
        <v>0</v>
      </c>
      <c r="DW22" s="98">
        <f>DW137</f>
        <v>0</v>
      </c>
      <c r="DX22" s="98">
        <f>DX137</f>
        <v>0</v>
      </c>
      <c r="DY22" s="98">
        <f>DY137</f>
        <v>0</v>
      </c>
      <c r="DZ22" s="98">
        <f>DZ137</f>
        <v>0</v>
      </c>
      <c r="EA22" s="98">
        <f>EA137</f>
        <v>0</v>
      </c>
      <c r="EB22" s="98">
        <f>EB137</f>
        <v>0</v>
      </c>
      <c r="EC22" s="98">
        <f>EC137</f>
        <v>0</v>
      </c>
      <c r="ED22" s="98">
        <f>ED137</f>
        <v>0</v>
      </c>
      <c r="EE22" s="98">
        <f>EE137</f>
        <v>0</v>
      </c>
      <c r="EF22" s="98">
        <f>EF137</f>
        <v>0</v>
      </c>
      <c r="EG22" s="98">
        <f>EG137</f>
        <v>0</v>
      </c>
      <c r="EH22" s="98">
        <f>EH137</f>
        <v>0</v>
      </c>
      <c r="EI22" s="98">
        <f>EI137</f>
        <v>0</v>
      </c>
      <c r="EJ22" s="98">
        <f>EJ137</f>
        <v>0</v>
      </c>
      <c r="EK22" s="98">
        <f>EK137</f>
        <v>0</v>
      </c>
      <c r="EL22" s="98">
        <f>EL137</f>
        <v>0</v>
      </c>
      <c r="EM22" s="98">
        <f>EM137</f>
        <v>0</v>
      </c>
      <c r="EN22" s="98">
        <f>EN137</f>
        <v>0</v>
      </c>
      <c r="EO22" s="98">
        <f>EO137</f>
        <v>0</v>
      </c>
      <c r="EP22" s="98">
        <f>EP137</f>
        <v>0</v>
      </c>
      <c r="EQ22" s="98">
        <f>EQ137</f>
        <v>0</v>
      </c>
      <c r="ER22" s="98">
        <f>ER137</f>
        <v>0</v>
      </c>
      <c r="ES22" s="98">
        <f>ES137</f>
        <v>0</v>
      </c>
      <c r="ET22" s="98">
        <f>ET137</f>
        <v>0</v>
      </c>
      <c r="EU22" s="98">
        <f>EU137</f>
        <v>0</v>
      </c>
      <c r="EV22" s="98">
        <f>EV137</f>
        <v>0</v>
      </c>
      <c r="EW22" s="98">
        <f>EW137</f>
        <v>0</v>
      </c>
      <c r="EX22" s="98">
        <f>EX137</f>
        <v>0</v>
      </c>
      <c r="EY22" s="98">
        <f>EY137</f>
        <v>0</v>
      </c>
      <c r="EZ22" s="98">
        <f>EZ137</f>
        <v>0</v>
      </c>
      <c r="FA22" s="98">
        <f>FA137</f>
        <v>0</v>
      </c>
      <c r="FB22" s="98">
        <f>FB137</f>
        <v>0</v>
      </c>
      <c r="FC22" s="98">
        <f>FC137</f>
        <v>0</v>
      </c>
      <c r="FD22" s="98">
        <f>FD137</f>
        <v>0</v>
      </c>
      <c r="FE22" s="98">
        <f>FE137</f>
        <v>0</v>
      </c>
      <c r="FF22" s="98">
        <f>FF137</f>
        <v>0</v>
      </c>
      <c r="FG22" s="98">
        <f>FG137</f>
        <v>0</v>
      </c>
      <c r="FH22" s="98">
        <f>FH137</f>
        <v>0</v>
      </c>
      <c r="FI22" s="98">
        <f>FI137</f>
        <v>0</v>
      </c>
      <c r="FJ22" s="98">
        <f>FJ137</f>
        <v>0</v>
      </c>
      <c r="FK22" s="98">
        <f>FK137</f>
        <v>0</v>
      </c>
      <c r="FL22" s="98">
        <f>FL137</f>
        <v>0</v>
      </c>
      <c r="FM22" s="98">
        <f>FM137</f>
        <v>0</v>
      </c>
      <c r="FN22" s="98">
        <f>FN137</f>
        <v>0</v>
      </c>
      <c r="FO22" s="98">
        <f>FO137</f>
        <v>0</v>
      </c>
      <c r="FP22" s="98">
        <f>FP137</f>
        <v>0</v>
      </c>
      <c r="FQ22" s="98">
        <f>FQ137</f>
        <v>0</v>
      </c>
      <c r="FR22" s="98">
        <f>FR137</f>
        <v>0</v>
      </c>
      <c r="FS22" s="98">
        <f>FS137</f>
        <v>0</v>
      </c>
      <c r="FT22" s="98">
        <f>FT137</f>
        <v>0</v>
      </c>
      <c r="FU22" s="98">
        <f>FU137</f>
        <v>0</v>
      </c>
      <c r="FV22" s="98">
        <f>FV137</f>
        <v>0</v>
      </c>
      <c r="FW22" s="98">
        <f>FW137</f>
        <v>0</v>
      </c>
      <c r="FX22" s="98">
        <f>FX137</f>
        <v>0</v>
      </c>
      <c r="FY22" s="98">
        <f>FY137</f>
        <v>0</v>
      </c>
      <c r="FZ22" s="98">
        <f>FZ137</f>
        <v>0</v>
      </c>
      <c r="GA22" s="98">
        <f>GA137</f>
        <v>0</v>
      </c>
      <c r="GB22" s="98">
        <f>GB137</f>
        <v>0</v>
      </c>
      <c r="GC22" s="98">
        <f>GC137</f>
        <v>0</v>
      </c>
      <c r="GD22" s="98">
        <f>GD137</f>
        <v>0</v>
      </c>
      <c r="GE22" s="98">
        <f>GE137</f>
        <v>0</v>
      </c>
      <c r="GF22" s="98">
        <f>GF137</f>
        <v>0</v>
      </c>
      <c r="GG22" s="98">
        <f>GG137</f>
        <v>0</v>
      </c>
      <c r="GH22" s="98">
        <f>GH137</f>
        <v>0</v>
      </c>
      <c r="GI22" s="98">
        <f>GI137</f>
        <v>0</v>
      </c>
      <c r="GJ22" s="98">
        <f>GJ137</f>
        <v>0</v>
      </c>
      <c r="GK22" s="98">
        <f>GK137</f>
        <v>0</v>
      </c>
      <c r="GL22" s="98">
        <f>GL137</f>
        <v>0</v>
      </c>
      <c r="GM22" s="98">
        <f>GM137</f>
        <v>0</v>
      </c>
      <c r="GN22" s="98">
        <f>GN137</f>
        <v>0</v>
      </c>
      <c r="GO22" s="98">
        <f>GO137</f>
        <v>0</v>
      </c>
      <c r="GP22" s="98">
        <f>GP137</f>
        <v>0</v>
      </c>
      <c r="GQ22" s="98">
        <f>GQ137</f>
        <v>0</v>
      </c>
      <c r="GR22" s="98">
        <f>GR137</f>
        <v>0</v>
      </c>
      <c r="GS22" s="98">
        <f>GS137</f>
        <v>0</v>
      </c>
      <c r="GT22" s="98">
        <f>GT137</f>
        <v>0</v>
      </c>
      <c r="GU22" s="98">
        <f>GU137</f>
        <v>0</v>
      </c>
      <c r="GV22" s="98">
        <f>GV137</f>
        <v>0</v>
      </c>
      <c r="GW22" s="98">
        <f>GW137</f>
        <v>0</v>
      </c>
      <c r="GX22" s="98">
        <f>GX137</f>
        <v>0</v>
      </c>
    </row>
    <row r="24" spans="1:245" x14ac:dyDescent="0.2">
      <c r="A24" s="101">
        <v>4</v>
      </c>
      <c r="B24" s="101">
        <v>1</v>
      </c>
      <c r="C24" s="101"/>
      <c r="D24" s="101">
        <f>ROW(A33)</f>
        <v>33</v>
      </c>
      <c r="E24" s="101"/>
      <c r="F24" s="101" t="s">
        <v>199</v>
      </c>
      <c r="G24" s="101" t="s">
        <v>210</v>
      </c>
      <c r="H24" s="101" t="s">
        <v>74</v>
      </c>
      <c r="I24" s="101">
        <v>0</v>
      </c>
      <c r="J24" s="101"/>
      <c r="K24" s="101">
        <v>-1</v>
      </c>
      <c r="L24" s="101"/>
      <c r="M24" s="101" t="s">
        <v>74</v>
      </c>
      <c r="N24" s="101"/>
      <c r="O24" s="101"/>
      <c r="P24" s="101"/>
      <c r="Q24" s="101"/>
      <c r="R24" s="101"/>
      <c r="S24" s="101">
        <v>0</v>
      </c>
      <c r="T24" s="101"/>
      <c r="U24" s="101" t="s">
        <v>74</v>
      </c>
      <c r="V24" s="101">
        <v>0</v>
      </c>
      <c r="W24" s="101"/>
      <c r="X24" s="101"/>
      <c r="Y24" s="101"/>
      <c r="Z24" s="101"/>
      <c r="AA24" s="101"/>
      <c r="AB24" s="101" t="s">
        <v>74</v>
      </c>
      <c r="AC24" s="101" t="s">
        <v>74</v>
      </c>
      <c r="AD24" s="101" t="s">
        <v>74</v>
      </c>
      <c r="AE24" s="101" t="s">
        <v>74</v>
      </c>
      <c r="AF24" s="101" t="s">
        <v>74</v>
      </c>
      <c r="AG24" s="101" t="s">
        <v>74</v>
      </c>
      <c r="AH24" s="101"/>
      <c r="AI24" s="101"/>
      <c r="AJ24" s="101"/>
      <c r="AK24" s="101"/>
      <c r="AL24" s="101"/>
      <c r="AM24" s="101"/>
      <c r="AN24" s="101"/>
      <c r="AO24" s="101"/>
      <c r="AP24" s="101" t="s">
        <v>74</v>
      </c>
      <c r="AQ24" s="101" t="s">
        <v>74</v>
      </c>
      <c r="AR24" s="101" t="s">
        <v>74</v>
      </c>
      <c r="AS24" s="101"/>
      <c r="AT24" s="101"/>
      <c r="AU24" s="101"/>
      <c r="AV24" s="101"/>
      <c r="AW24" s="101"/>
      <c r="AX24" s="101"/>
      <c r="AY24" s="101"/>
      <c r="AZ24" s="101" t="s">
        <v>74</v>
      </c>
      <c r="BA24" s="101"/>
      <c r="BB24" s="101" t="s">
        <v>74</v>
      </c>
      <c r="BC24" s="101" t="s">
        <v>74</v>
      </c>
      <c r="BD24" s="101" t="s">
        <v>74</v>
      </c>
      <c r="BE24" s="101" t="s">
        <v>74</v>
      </c>
      <c r="BF24" s="101" t="s">
        <v>74</v>
      </c>
      <c r="BG24" s="101" t="s">
        <v>74</v>
      </c>
      <c r="BH24" s="101" t="s">
        <v>74</v>
      </c>
      <c r="BI24" s="101" t="s">
        <v>74</v>
      </c>
      <c r="BJ24" s="101" t="s">
        <v>74</v>
      </c>
      <c r="BK24" s="101" t="s">
        <v>74</v>
      </c>
      <c r="BL24" s="101" t="s">
        <v>74</v>
      </c>
      <c r="BM24" s="101" t="s">
        <v>74</v>
      </c>
      <c r="BN24" s="101" t="s">
        <v>74</v>
      </c>
      <c r="BO24" s="101" t="s">
        <v>74</v>
      </c>
      <c r="BP24" s="101" t="s">
        <v>74</v>
      </c>
      <c r="BQ24" s="101"/>
      <c r="BR24" s="101"/>
      <c r="BS24" s="101"/>
      <c r="BT24" s="101"/>
      <c r="BU24" s="101"/>
      <c r="BV24" s="101"/>
      <c r="BW24" s="101"/>
      <c r="BX24" s="101">
        <v>0</v>
      </c>
      <c r="BY24" s="101"/>
      <c r="BZ24" s="101"/>
      <c r="CA24" s="101"/>
      <c r="CB24" s="101"/>
      <c r="CC24" s="101"/>
      <c r="CD24" s="101"/>
      <c r="CE24" s="101"/>
      <c r="CF24" s="101"/>
      <c r="CG24" s="101"/>
      <c r="CH24" s="101"/>
      <c r="CI24" s="101"/>
      <c r="CJ24" s="101">
        <v>0</v>
      </c>
    </row>
    <row r="26" spans="1:245" x14ac:dyDescent="0.2">
      <c r="A26" s="100">
        <v>52</v>
      </c>
      <c r="B26" s="100">
        <f>B33</f>
        <v>1</v>
      </c>
      <c r="C26" s="100">
        <f>C33</f>
        <v>4</v>
      </c>
      <c r="D26" s="100">
        <f>D33</f>
        <v>24</v>
      </c>
      <c r="E26" s="100">
        <f>E33</f>
        <v>0</v>
      </c>
      <c r="F26" s="100" t="str">
        <f>F33</f>
        <v>Новый раздел</v>
      </c>
      <c r="G26" s="100" t="str">
        <f>G33</f>
        <v>Монтажные работы</v>
      </c>
      <c r="H26" s="100"/>
      <c r="I26" s="100"/>
      <c r="J26" s="100"/>
      <c r="K26" s="100"/>
      <c r="L26" s="100"/>
      <c r="M26" s="100"/>
      <c r="N26" s="100"/>
      <c r="O26" s="100">
        <f>O33</f>
        <v>6914</v>
      </c>
      <c r="P26" s="100">
        <f>P33</f>
        <v>2088</v>
      </c>
      <c r="Q26" s="100">
        <f>Q33</f>
        <v>651</v>
      </c>
      <c r="R26" s="100">
        <f>R33</f>
        <v>211</v>
      </c>
      <c r="S26" s="100">
        <f>S33</f>
        <v>4175</v>
      </c>
      <c r="T26" s="100">
        <f>T33</f>
        <v>0</v>
      </c>
      <c r="U26" s="100">
        <f>U33</f>
        <v>16.013500000000001</v>
      </c>
      <c r="V26" s="100">
        <f>V33</f>
        <v>0.77059999999999995</v>
      </c>
      <c r="W26" s="100">
        <f>W33</f>
        <v>0</v>
      </c>
      <c r="X26" s="100">
        <f>X33</f>
        <v>4149</v>
      </c>
      <c r="Y26" s="100">
        <f>Y33</f>
        <v>2294</v>
      </c>
      <c r="Z26" s="100">
        <f>Z33</f>
        <v>0</v>
      </c>
      <c r="AA26" s="100">
        <f>AA33</f>
        <v>0</v>
      </c>
      <c r="AB26" s="100">
        <f>AB33</f>
        <v>6914</v>
      </c>
      <c r="AC26" s="100">
        <f>AC33</f>
        <v>2088</v>
      </c>
      <c r="AD26" s="100">
        <f>AD33</f>
        <v>651</v>
      </c>
      <c r="AE26" s="100">
        <f>AE33</f>
        <v>211</v>
      </c>
      <c r="AF26" s="100">
        <f>AF33</f>
        <v>4175</v>
      </c>
      <c r="AG26" s="100">
        <f>AG33</f>
        <v>0</v>
      </c>
      <c r="AH26" s="100">
        <f>AH33</f>
        <v>16.013500000000001</v>
      </c>
      <c r="AI26" s="100">
        <f>AI33</f>
        <v>0.77059999999999995</v>
      </c>
      <c r="AJ26" s="100">
        <f>AJ33</f>
        <v>0</v>
      </c>
      <c r="AK26" s="100">
        <f>AK33</f>
        <v>4149</v>
      </c>
      <c r="AL26" s="100">
        <f>AL33</f>
        <v>2294</v>
      </c>
      <c r="AM26" s="100">
        <f>AM33</f>
        <v>0</v>
      </c>
      <c r="AN26" s="100">
        <f>AN33</f>
        <v>0</v>
      </c>
      <c r="AO26" s="100">
        <f>AO33</f>
        <v>0</v>
      </c>
      <c r="AP26" s="100">
        <f>AP33</f>
        <v>0</v>
      </c>
      <c r="AQ26" s="100">
        <f>AQ33</f>
        <v>0</v>
      </c>
      <c r="AR26" s="100">
        <f>AR33</f>
        <v>13357</v>
      </c>
      <c r="AS26" s="100">
        <f>AS33</f>
        <v>0</v>
      </c>
      <c r="AT26" s="100">
        <f>AT33</f>
        <v>13357</v>
      </c>
      <c r="AU26" s="100">
        <f>AU33</f>
        <v>0</v>
      </c>
      <c r="AV26" s="100">
        <f>AV33</f>
        <v>2088</v>
      </c>
      <c r="AW26" s="100">
        <f>AW33</f>
        <v>2088</v>
      </c>
      <c r="AX26" s="100">
        <f>AX33</f>
        <v>0</v>
      </c>
      <c r="AY26" s="100">
        <f>AY33</f>
        <v>2088</v>
      </c>
      <c r="AZ26" s="100">
        <f>AZ33</f>
        <v>0</v>
      </c>
      <c r="BA26" s="100">
        <f>BA33</f>
        <v>0</v>
      </c>
      <c r="BB26" s="100">
        <f>BB33</f>
        <v>0</v>
      </c>
      <c r="BC26" s="100">
        <f>BC33</f>
        <v>0</v>
      </c>
      <c r="BD26" s="100">
        <f>BD33</f>
        <v>0</v>
      </c>
      <c r="BE26" s="100">
        <f>BE33</f>
        <v>0</v>
      </c>
      <c r="BF26" s="100">
        <f>BF33</f>
        <v>0</v>
      </c>
      <c r="BG26" s="100">
        <f>BG33</f>
        <v>0</v>
      </c>
      <c r="BH26" s="100">
        <f>BH33</f>
        <v>0</v>
      </c>
      <c r="BI26" s="100">
        <f>BI33</f>
        <v>0</v>
      </c>
      <c r="BJ26" s="100">
        <f>BJ33</f>
        <v>0</v>
      </c>
      <c r="BK26" s="100">
        <f>BK33</f>
        <v>0</v>
      </c>
      <c r="BL26" s="100">
        <f>BL33</f>
        <v>0</v>
      </c>
      <c r="BM26" s="100">
        <f>BM33</f>
        <v>0</v>
      </c>
      <c r="BN26" s="100">
        <f>BN33</f>
        <v>0</v>
      </c>
      <c r="BO26" s="100">
        <f>BO33</f>
        <v>0</v>
      </c>
      <c r="BP26" s="100">
        <f>BP33</f>
        <v>0</v>
      </c>
      <c r="BQ26" s="100">
        <f>BQ33</f>
        <v>0</v>
      </c>
      <c r="BR26" s="100">
        <f>BR33</f>
        <v>0</v>
      </c>
      <c r="BS26" s="100">
        <f>BS33</f>
        <v>0</v>
      </c>
      <c r="BT26" s="100">
        <f>BT33</f>
        <v>0</v>
      </c>
      <c r="BU26" s="100">
        <f>BU33</f>
        <v>0</v>
      </c>
      <c r="BV26" s="100">
        <f>BV33</f>
        <v>0</v>
      </c>
      <c r="BW26" s="100">
        <f>BW33</f>
        <v>0</v>
      </c>
      <c r="BX26" s="100">
        <f>BX33</f>
        <v>0</v>
      </c>
      <c r="BY26" s="100">
        <f>BY33</f>
        <v>0</v>
      </c>
      <c r="BZ26" s="100">
        <f>BZ33</f>
        <v>0</v>
      </c>
      <c r="CA26" s="100">
        <f>CA33</f>
        <v>13357</v>
      </c>
      <c r="CB26" s="100">
        <f>CB33</f>
        <v>0</v>
      </c>
      <c r="CC26" s="100">
        <f>CC33</f>
        <v>13357</v>
      </c>
      <c r="CD26" s="100">
        <f>CD33</f>
        <v>0</v>
      </c>
      <c r="CE26" s="100">
        <f>CE33</f>
        <v>2088</v>
      </c>
      <c r="CF26" s="100">
        <f>CF33</f>
        <v>2088</v>
      </c>
      <c r="CG26" s="100">
        <f>CG33</f>
        <v>0</v>
      </c>
      <c r="CH26" s="100">
        <f>CH33</f>
        <v>2088</v>
      </c>
      <c r="CI26" s="100">
        <f>CI33</f>
        <v>0</v>
      </c>
      <c r="CJ26" s="100">
        <f>CJ33</f>
        <v>0</v>
      </c>
      <c r="CK26" s="100">
        <f>CK33</f>
        <v>0</v>
      </c>
      <c r="CL26" s="100">
        <f>CL33</f>
        <v>0</v>
      </c>
      <c r="CM26" s="100">
        <f>CM33</f>
        <v>0</v>
      </c>
      <c r="CN26" s="100">
        <f>CN33</f>
        <v>0</v>
      </c>
      <c r="CO26" s="100">
        <f>CO33</f>
        <v>0</v>
      </c>
      <c r="CP26" s="100">
        <f>CP33</f>
        <v>0</v>
      </c>
      <c r="CQ26" s="100">
        <f>CQ33</f>
        <v>0</v>
      </c>
      <c r="CR26" s="100">
        <f>CR33</f>
        <v>0</v>
      </c>
      <c r="CS26" s="100">
        <f>CS33</f>
        <v>0</v>
      </c>
      <c r="CT26" s="100">
        <f>CT33</f>
        <v>0</v>
      </c>
      <c r="CU26" s="100">
        <f>CU33</f>
        <v>0</v>
      </c>
      <c r="CV26" s="100">
        <f>CV33</f>
        <v>0</v>
      </c>
      <c r="CW26" s="100">
        <f>CW33</f>
        <v>0</v>
      </c>
      <c r="CX26" s="100">
        <f>CX33</f>
        <v>0</v>
      </c>
      <c r="CY26" s="100">
        <f>CY33</f>
        <v>0</v>
      </c>
      <c r="CZ26" s="100">
        <f>CZ33</f>
        <v>0</v>
      </c>
      <c r="DA26" s="100">
        <f>DA33</f>
        <v>0</v>
      </c>
      <c r="DB26" s="100">
        <f>DB33</f>
        <v>0</v>
      </c>
      <c r="DC26" s="100">
        <f>DC33</f>
        <v>0</v>
      </c>
      <c r="DD26" s="100">
        <f>DD33</f>
        <v>0</v>
      </c>
      <c r="DE26" s="100">
        <f>DE33</f>
        <v>0</v>
      </c>
      <c r="DF26" s="100">
        <f>DF33</f>
        <v>0</v>
      </c>
      <c r="DG26" s="98">
        <f>DG33</f>
        <v>0</v>
      </c>
      <c r="DH26" s="98">
        <f>DH33</f>
        <v>0</v>
      </c>
      <c r="DI26" s="98">
        <f>DI33</f>
        <v>0</v>
      </c>
      <c r="DJ26" s="98">
        <f>DJ33</f>
        <v>0</v>
      </c>
      <c r="DK26" s="98">
        <f>DK33</f>
        <v>0</v>
      </c>
      <c r="DL26" s="98">
        <f>DL33</f>
        <v>0</v>
      </c>
      <c r="DM26" s="98">
        <f>DM33</f>
        <v>0</v>
      </c>
      <c r="DN26" s="98">
        <f>DN33</f>
        <v>0</v>
      </c>
      <c r="DO26" s="98">
        <f>DO33</f>
        <v>0</v>
      </c>
      <c r="DP26" s="98">
        <f>DP33</f>
        <v>0</v>
      </c>
      <c r="DQ26" s="98">
        <f>DQ33</f>
        <v>0</v>
      </c>
      <c r="DR26" s="98">
        <f>DR33</f>
        <v>0</v>
      </c>
      <c r="DS26" s="98">
        <f>DS33</f>
        <v>0</v>
      </c>
      <c r="DT26" s="98">
        <f>DT33</f>
        <v>0</v>
      </c>
      <c r="DU26" s="98">
        <f>DU33</f>
        <v>0</v>
      </c>
      <c r="DV26" s="98">
        <f>DV33</f>
        <v>0</v>
      </c>
      <c r="DW26" s="98">
        <f>DW33</f>
        <v>0</v>
      </c>
      <c r="DX26" s="98">
        <f>DX33</f>
        <v>0</v>
      </c>
      <c r="DY26" s="98">
        <f>DY33</f>
        <v>0</v>
      </c>
      <c r="DZ26" s="98">
        <f>DZ33</f>
        <v>0</v>
      </c>
      <c r="EA26" s="98">
        <f>EA33</f>
        <v>0</v>
      </c>
      <c r="EB26" s="98">
        <f>EB33</f>
        <v>0</v>
      </c>
      <c r="EC26" s="98">
        <f>EC33</f>
        <v>0</v>
      </c>
      <c r="ED26" s="98">
        <f>ED33</f>
        <v>0</v>
      </c>
      <c r="EE26" s="98">
        <f>EE33</f>
        <v>0</v>
      </c>
      <c r="EF26" s="98">
        <f>EF33</f>
        <v>0</v>
      </c>
      <c r="EG26" s="98">
        <f>EG33</f>
        <v>0</v>
      </c>
      <c r="EH26" s="98">
        <f>EH33</f>
        <v>0</v>
      </c>
      <c r="EI26" s="98">
        <f>EI33</f>
        <v>0</v>
      </c>
      <c r="EJ26" s="98">
        <f>EJ33</f>
        <v>0</v>
      </c>
      <c r="EK26" s="98">
        <f>EK33</f>
        <v>0</v>
      </c>
      <c r="EL26" s="98">
        <f>EL33</f>
        <v>0</v>
      </c>
      <c r="EM26" s="98">
        <f>EM33</f>
        <v>0</v>
      </c>
      <c r="EN26" s="98">
        <f>EN33</f>
        <v>0</v>
      </c>
      <c r="EO26" s="98">
        <f>EO33</f>
        <v>0</v>
      </c>
      <c r="EP26" s="98">
        <f>EP33</f>
        <v>0</v>
      </c>
      <c r="EQ26" s="98">
        <f>EQ33</f>
        <v>0</v>
      </c>
      <c r="ER26" s="98">
        <f>ER33</f>
        <v>0</v>
      </c>
      <c r="ES26" s="98">
        <f>ES33</f>
        <v>0</v>
      </c>
      <c r="ET26" s="98">
        <f>ET33</f>
        <v>0</v>
      </c>
      <c r="EU26" s="98">
        <f>EU33</f>
        <v>0</v>
      </c>
      <c r="EV26" s="98">
        <f>EV33</f>
        <v>0</v>
      </c>
      <c r="EW26" s="98">
        <f>EW33</f>
        <v>0</v>
      </c>
      <c r="EX26" s="98">
        <f>EX33</f>
        <v>0</v>
      </c>
      <c r="EY26" s="98">
        <f>EY33</f>
        <v>0</v>
      </c>
      <c r="EZ26" s="98">
        <f>EZ33</f>
        <v>0</v>
      </c>
      <c r="FA26" s="98">
        <f>FA33</f>
        <v>0</v>
      </c>
      <c r="FB26" s="98">
        <f>FB33</f>
        <v>0</v>
      </c>
      <c r="FC26" s="98">
        <f>FC33</f>
        <v>0</v>
      </c>
      <c r="FD26" s="98">
        <f>FD33</f>
        <v>0</v>
      </c>
      <c r="FE26" s="98">
        <f>FE33</f>
        <v>0</v>
      </c>
      <c r="FF26" s="98">
        <f>FF33</f>
        <v>0</v>
      </c>
      <c r="FG26" s="98">
        <f>FG33</f>
        <v>0</v>
      </c>
      <c r="FH26" s="98">
        <f>FH33</f>
        <v>0</v>
      </c>
      <c r="FI26" s="98">
        <f>FI33</f>
        <v>0</v>
      </c>
      <c r="FJ26" s="98">
        <f>FJ33</f>
        <v>0</v>
      </c>
      <c r="FK26" s="98">
        <f>FK33</f>
        <v>0</v>
      </c>
      <c r="FL26" s="98">
        <f>FL33</f>
        <v>0</v>
      </c>
      <c r="FM26" s="98">
        <f>FM33</f>
        <v>0</v>
      </c>
      <c r="FN26" s="98">
        <f>FN33</f>
        <v>0</v>
      </c>
      <c r="FO26" s="98">
        <f>FO33</f>
        <v>0</v>
      </c>
      <c r="FP26" s="98">
        <f>FP33</f>
        <v>0</v>
      </c>
      <c r="FQ26" s="98">
        <f>FQ33</f>
        <v>0</v>
      </c>
      <c r="FR26" s="98">
        <f>FR33</f>
        <v>0</v>
      </c>
      <c r="FS26" s="98">
        <f>FS33</f>
        <v>0</v>
      </c>
      <c r="FT26" s="98">
        <f>FT33</f>
        <v>0</v>
      </c>
      <c r="FU26" s="98">
        <f>FU33</f>
        <v>0</v>
      </c>
      <c r="FV26" s="98">
        <f>FV33</f>
        <v>0</v>
      </c>
      <c r="FW26" s="98">
        <f>FW33</f>
        <v>0</v>
      </c>
      <c r="FX26" s="98">
        <f>FX33</f>
        <v>0</v>
      </c>
      <c r="FY26" s="98">
        <f>FY33</f>
        <v>0</v>
      </c>
      <c r="FZ26" s="98">
        <f>FZ33</f>
        <v>0</v>
      </c>
      <c r="GA26" s="98">
        <f>GA33</f>
        <v>0</v>
      </c>
      <c r="GB26" s="98">
        <f>GB33</f>
        <v>0</v>
      </c>
      <c r="GC26" s="98">
        <f>GC33</f>
        <v>0</v>
      </c>
      <c r="GD26" s="98">
        <f>GD33</f>
        <v>0</v>
      </c>
      <c r="GE26" s="98">
        <f>GE33</f>
        <v>0</v>
      </c>
      <c r="GF26" s="98">
        <f>GF33</f>
        <v>0</v>
      </c>
      <c r="GG26" s="98">
        <f>GG33</f>
        <v>0</v>
      </c>
      <c r="GH26" s="98">
        <f>GH33</f>
        <v>0</v>
      </c>
      <c r="GI26" s="98">
        <f>GI33</f>
        <v>0</v>
      </c>
      <c r="GJ26" s="98">
        <f>GJ33</f>
        <v>0</v>
      </c>
      <c r="GK26" s="98">
        <f>GK33</f>
        <v>0</v>
      </c>
      <c r="GL26" s="98">
        <f>GL33</f>
        <v>0</v>
      </c>
      <c r="GM26" s="98">
        <f>GM33</f>
        <v>0</v>
      </c>
      <c r="GN26" s="98">
        <f>GN33</f>
        <v>0</v>
      </c>
      <c r="GO26" s="98">
        <f>GO33</f>
        <v>0</v>
      </c>
      <c r="GP26" s="98">
        <f>GP33</f>
        <v>0</v>
      </c>
      <c r="GQ26" s="98">
        <f>GQ33</f>
        <v>0</v>
      </c>
      <c r="GR26" s="98">
        <f>GR33</f>
        <v>0</v>
      </c>
      <c r="GS26" s="98">
        <f>GS33</f>
        <v>0</v>
      </c>
      <c r="GT26" s="98">
        <f>GT33</f>
        <v>0</v>
      </c>
      <c r="GU26" s="98">
        <f>GU33</f>
        <v>0</v>
      </c>
      <c r="GV26" s="98">
        <f>GV33</f>
        <v>0</v>
      </c>
      <c r="GW26" s="98">
        <f>GW33</f>
        <v>0</v>
      </c>
      <c r="GX26" s="98">
        <f>GX33</f>
        <v>0</v>
      </c>
    </row>
    <row r="28" spans="1:245" x14ac:dyDescent="0.2">
      <c r="A28" s="27">
        <v>17</v>
      </c>
      <c r="B28" s="27">
        <v>1</v>
      </c>
      <c r="C28" s="27">
        <f>ROW(SmtRes!A19)</f>
        <v>19</v>
      </c>
      <c r="D28" s="27">
        <f>ROW(EtalonRes!A19)</f>
        <v>19</v>
      </c>
      <c r="E28" s="27" t="s">
        <v>232</v>
      </c>
      <c r="F28" s="27" t="s">
        <v>231</v>
      </c>
      <c r="G28" s="27" t="s">
        <v>230</v>
      </c>
      <c r="H28" s="27" t="s">
        <v>228</v>
      </c>
      <c r="I28" s="27">
        <v>1</v>
      </c>
      <c r="J28" s="27">
        <v>0</v>
      </c>
      <c r="K28" s="27">
        <v>1</v>
      </c>
      <c r="O28" s="27">
        <f>ROUND(CP28,0)</f>
        <v>336</v>
      </c>
      <c r="P28" s="27">
        <f>ROUND(CQ28*I28,0)</f>
        <v>155</v>
      </c>
      <c r="Q28" s="27">
        <f>ROUND(CR28*I28,0)</f>
        <v>57</v>
      </c>
      <c r="R28" s="27">
        <f>ROUND(CS28*I28,0)</f>
        <v>16</v>
      </c>
      <c r="S28" s="27">
        <f>ROUND(CT28*I28,0)</f>
        <v>124</v>
      </c>
      <c r="T28" s="27">
        <f>ROUND(CU28*I28,0)</f>
        <v>0</v>
      </c>
      <c r="U28" s="27">
        <f>CV28*I28</f>
        <v>0.52</v>
      </c>
      <c r="V28" s="27">
        <f>CW28*I28</f>
        <v>0.06</v>
      </c>
      <c r="W28" s="27">
        <f>ROUND(CX28*I28,0)</f>
        <v>0</v>
      </c>
      <c r="X28" s="27">
        <f>ROUND(CY28,0)</f>
        <v>126</v>
      </c>
      <c r="Y28" s="27">
        <f>ROUND(CZ28,0)</f>
        <v>64</v>
      </c>
      <c r="AA28" s="27">
        <v>34787475</v>
      </c>
      <c r="AB28" s="27">
        <f>ROUND((AC28+AD28+AF28),6)</f>
        <v>33.82</v>
      </c>
      <c r="AC28" s="27">
        <f>ROUND((ES28),6)</f>
        <v>23.2</v>
      </c>
      <c r="AD28" s="27">
        <f>ROUND((((ET28)-(EU28))+AE28),6)</f>
        <v>6.08</v>
      </c>
      <c r="AE28" s="27">
        <f>ROUND((EU28),6)</f>
        <v>0.6</v>
      </c>
      <c r="AF28" s="27">
        <f>ROUND((EV28),6)</f>
        <v>4.54</v>
      </c>
      <c r="AG28" s="27">
        <f>ROUND((AP28),6)</f>
        <v>0</v>
      </c>
      <c r="AH28" s="27">
        <f>(EW28)</f>
        <v>0.52</v>
      </c>
      <c r="AI28" s="27">
        <f>(EX28)</f>
        <v>0.06</v>
      </c>
      <c r="AJ28" s="27">
        <f>(AS28)</f>
        <v>0</v>
      </c>
      <c r="AK28" s="27">
        <v>33.82</v>
      </c>
      <c r="AL28" s="27">
        <v>23.2</v>
      </c>
      <c r="AM28" s="27">
        <v>6.08</v>
      </c>
      <c r="AN28" s="27">
        <v>0.6</v>
      </c>
      <c r="AO28" s="27">
        <v>4.54</v>
      </c>
      <c r="AP28" s="27">
        <v>0</v>
      </c>
      <c r="AQ28" s="27">
        <v>0.52</v>
      </c>
      <c r="AR28" s="27">
        <v>0.06</v>
      </c>
      <c r="AS28" s="27">
        <v>0</v>
      </c>
      <c r="AT28" s="27">
        <v>90</v>
      </c>
      <c r="AU28" s="27">
        <v>46</v>
      </c>
      <c r="AV28" s="27">
        <v>1</v>
      </c>
      <c r="AW28" s="27">
        <v>1</v>
      </c>
      <c r="AZ28" s="27">
        <v>1</v>
      </c>
      <c r="BA28" s="27">
        <v>27.34</v>
      </c>
      <c r="BB28" s="27">
        <v>9.32</v>
      </c>
      <c r="BC28" s="27">
        <v>6.66</v>
      </c>
      <c r="BD28" s="27" t="s">
        <v>74</v>
      </c>
      <c r="BE28" s="27" t="s">
        <v>74</v>
      </c>
      <c r="BF28" s="27" t="s">
        <v>74</v>
      </c>
      <c r="BG28" s="27" t="s">
        <v>74</v>
      </c>
      <c r="BH28" s="27">
        <v>0</v>
      </c>
      <c r="BI28" s="27">
        <v>2</v>
      </c>
      <c r="BJ28" s="27" t="s">
        <v>229</v>
      </c>
      <c r="BM28" s="27">
        <v>111001</v>
      </c>
      <c r="BN28" s="27">
        <v>0</v>
      </c>
      <c r="BO28" s="27" t="s">
        <v>74</v>
      </c>
      <c r="BP28" s="27">
        <v>0</v>
      </c>
      <c r="BQ28" s="27">
        <v>3</v>
      </c>
      <c r="BR28" s="27">
        <v>0</v>
      </c>
      <c r="BS28" s="27">
        <v>27.34</v>
      </c>
      <c r="BT28" s="27">
        <v>1</v>
      </c>
      <c r="BU28" s="27">
        <v>1</v>
      </c>
      <c r="BV28" s="27">
        <v>1</v>
      </c>
      <c r="BW28" s="27">
        <v>1</v>
      </c>
      <c r="BX28" s="27">
        <v>1</v>
      </c>
      <c r="BY28" s="27" t="s">
        <v>74</v>
      </c>
      <c r="BZ28" s="27">
        <v>90</v>
      </c>
      <c r="CA28" s="27">
        <v>46</v>
      </c>
      <c r="CB28" s="27" t="s">
        <v>74</v>
      </c>
      <c r="CE28" s="27">
        <v>0</v>
      </c>
      <c r="CF28" s="27">
        <v>0</v>
      </c>
      <c r="CG28" s="27">
        <v>0</v>
      </c>
      <c r="CM28" s="27">
        <v>0</v>
      </c>
      <c r="CN28" s="27" t="s">
        <v>74</v>
      </c>
      <c r="CO28" s="27">
        <v>0</v>
      </c>
      <c r="CP28" s="27">
        <f>(P28+Q28+S28)</f>
        <v>336</v>
      </c>
      <c r="CQ28" s="27">
        <f>AC28*BC28</f>
        <v>154.512</v>
      </c>
      <c r="CR28" s="27">
        <f>AD28*BB28</f>
        <v>56.665600000000005</v>
      </c>
      <c r="CS28" s="27">
        <f>AE28*BS28</f>
        <v>16.404</v>
      </c>
      <c r="CT28" s="27">
        <f>AF28*BA28</f>
        <v>124.1236</v>
      </c>
      <c r="CU28" s="27">
        <f>AG28</f>
        <v>0</v>
      </c>
      <c r="CV28" s="27">
        <f>AH28</f>
        <v>0.52</v>
      </c>
      <c r="CW28" s="27">
        <f>AI28</f>
        <v>0.06</v>
      </c>
      <c r="CX28" s="27">
        <f>AJ28</f>
        <v>0</v>
      </c>
      <c r="CY28" s="27">
        <f>(((S28+R28)*AT28)/100)</f>
        <v>126</v>
      </c>
      <c r="CZ28" s="27">
        <f>(((S28+R28)*AU28)/100)</f>
        <v>64.400000000000006</v>
      </c>
      <c r="DC28" s="27" t="s">
        <v>74</v>
      </c>
      <c r="DD28" s="27" t="s">
        <v>74</v>
      </c>
      <c r="DE28" s="27" t="s">
        <v>74</v>
      </c>
      <c r="DF28" s="27" t="s">
        <v>74</v>
      </c>
      <c r="DG28" s="27" t="s">
        <v>74</v>
      </c>
      <c r="DH28" s="27" t="s">
        <v>74</v>
      </c>
      <c r="DI28" s="27" t="s">
        <v>74</v>
      </c>
      <c r="DJ28" s="27" t="s">
        <v>74</v>
      </c>
      <c r="DK28" s="27" t="s">
        <v>74</v>
      </c>
      <c r="DL28" s="27" t="s">
        <v>74</v>
      </c>
      <c r="DM28" s="27" t="s">
        <v>74</v>
      </c>
      <c r="DN28" s="27">
        <v>97</v>
      </c>
      <c r="DO28" s="27">
        <v>51</v>
      </c>
      <c r="DP28" s="27">
        <v>1</v>
      </c>
      <c r="DQ28" s="27">
        <v>1</v>
      </c>
      <c r="DU28" s="27">
        <v>1010</v>
      </c>
      <c r="DV28" s="27" t="s">
        <v>228</v>
      </c>
      <c r="DW28" s="27" t="s">
        <v>228</v>
      </c>
      <c r="DX28" s="27">
        <v>1</v>
      </c>
      <c r="DZ28" s="27" t="s">
        <v>74</v>
      </c>
      <c r="EA28" s="27" t="s">
        <v>74</v>
      </c>
      <c r="EB28" s="27" t="s">
        <v>74</v>
      </c>
      <c r="EC28" s="27" t="s">
        <v>74</v>
      </c>
      <c r="EE28" s="27">
        <v>32940327</v>
      </c>
      <c r="EF28" s="27">
        <v>3</v>
      </c>
      <c r="EG28" s="27" t="s">
        <v>210</v>
      </c>
      <c r="EH28" s="27">
        <v>0</v>
      </c>
      <c r="EI28" s="27" t="s">
        <v>74</v>
      </c>
      <c r="EJ28" s="27">
        <v>2</v>
      </c>
      <c r="EK28" s="27">
        <v>111001</v>
      </c>
      <c r="EL28" s="27" t="s">
        <v>223</v>
      </c>
      <c r="EM28" s="27" t="s">
        <v>222</v>
      </c>
      <c r="EO28" s="27" t="s">
        <v>74</v>
      </c>
      <c r="EQ28" s="27">
        <v>0</v>
      </c>
      <c r="ER28" s="27">
        <v>33.82</v>
      </c>
      <c r="ES28" s="27">
        <v>23.2</v>
      </c>
      <c r="ET28" s="27">
        <v>6.08</v>
      </c>
      <c r="EU28" s="27">
        <v>0.6</v>
      </c>
      <c r="EV28" s="27">
        <v>4.54</v>
      </c>
      <c r="EW28" s="27">
        <v>0.52</v>
      </c>
      <c r="EX28" s="27">
        <v>0.06</v>
      </c>
      <c r="EY28" s="27">
        <v>0</v>
      </c>
      <c r="FQ28" s="27">
        <v>0</v>
      </c>
      <c r="FR28" s="27">
        <f>ROUND(IF(AND(BH28=3,BI28=3),P28,0),0)</f>
        <v>0</v>
      </c>
      <c r="FS28" s="27">
        <v>0</v>
      </c>
      <c r="FX28" s="27">
        <v>90</v>
      </c>
      <c r="FY28" s="27">
        <v>46</v>
      </c>
      <c r="GA28" s="27" t="s">
        <v>74</v>
      </c>
      <c r="GD28" s="27">
        <v>1</v>
      </c>
      <c r="GF28" s="27">
        <v>52187935</v>
      </c>
      <c r="GG28" s="27">
        <v>2</v>
      </c>
      <c r="GH28" s="27">
        <v>1</v>
      </c>
      <c r="GI28" s="27">
        <v>3</v>
      </c>
      <c r="GJ28" s="27">
        <v>0</v>
      </c>
      <c r="GK28" s="27">
        <v>0</v>
      </c>
      <c r="GL28" s="27">
        <f>ROUND(IF(AND(BH28=3,BI28=3,FS28&lt;&gt;0),P28,0),0)</f>
        <v>0</v>
      </c>
      <c r="GM28" s="27">
        <f>ROUND(O28+X28+Y28,0)+GX28</f>
        <v>526</v>
      </c>
      <c r="GN28" s="27">
        <f>IF(OR(BI28=0,BI28=1),ROUND(O28+X28+Y28,0),0)</f>
        <v>0</v>
      </c>
      <c r="GO28" s="27">
        <f>IF(BI28=2,ROUND(O28+X28+Y28,0),0)</f>
        <v>526</v>
      </c>
      <c r="GP28" s="27">
        <f>IF(BI28=4,ROUND(O28+X28+Y28,0)+GX28,0)</f>
        <v>0</v>
      </c>
      <c r="GR28" s="27">
        <v>0</v>
      </c>
      <c r="GS28" s="27">
        <v>3</v>
      </c>
      <c r="GT28" s="27">
        <v>0</v>
      </c>
      <c r="GU28" s="27" t="s">
        <v>74</v>
      </c>
      <c r="GV28" s="27">
        <f>ROUND((GT28),6)</f>
        <v>0</v>
      </c>
      <c r="GW28" s="27">
        <v>1</v>
      </c>
      <c r="GX28" s="27">
        <f>ROUND(HC28*I28,0)</f>
        <v>0</v>
      </c>
      <c r="HA28" s="27">
        <v>0</v>
      </c>
      <c r="HB28" s="27">
        <v>0</v>
      </c>
      <c r="HC28" s="27">
        <f>GV28*GW28</f>
        <v>0</v>
      </c>
      <c r="HE28" s="27" t="s">
        <v>74</v>
      </c>
      <c r="HF28" s="27" t="s">
        <v>74</v>
      </c>
      <c r="HM28" s="27" t="s">
        <v>74</v>
      </c>
      <c r="HN28" s="27" t="s">
        <v>74</v>
      </c>
      <c r="HO28" s="27" t="s">
        <v>74</v>
      </c>
      <c r="HP28" s="27" t="s">
        <v>74</v>
      </c>
      <c r="HQ28" s="27" t="s">
        <v>74</v>
      </c>
      <c r="IK28" s="27">
        <v>0</v>
      </c>
    </row>
    <row r="29" spans="1:245" x14ac:dyDescent="0.2">
      <c r="A29" s="27">
        <v>17</v>
      </c>
      <c r="B29" s="27">
        <v>1</v>
      </c>
      <c r="C29" s="27">
        <f>ROW(SmtRes!A23)</f>
        <v>23</v>
      </c>
      <c r="D29" s="27">
        <f>ROW(EtalonRes!A23)</f>
        <v>23</v>
      </c>
      <c r="E29" s="27" t="s">
        <v>227</v>
      </c>
      <c r="F29" s="27" t="s">
        <v>226</v>
      </c>
      <c r="G29" s="27" t="s">
        <v>225</v>
      </c>
      <c r="H29" s="27" t="s">
        <v>218</v>
      </c>
      <c r="I29" s="27">
        <v>1</v>
      </c>
      <c r="J29" s="27">
        <v>0</v>
      </c>
      <c r="K29" s="27">
        <v>1</v>
      </c>
      <c r="O29" s="27">
        <f>ROUND(CP29,0)</f>
        <v>250</v>
      </c>
      <c r="P29" s="27">
        <f>ROUND(CQ29*I29,0)</f>
        <v>1</v>
      </c>
      <c r="Q29" s="27">
        <f>ROUND(CR29*I29,0)</f>
        <v>6</v>
      </c>
      <c r="R29" s="27">
        <f>ROUND(CS29*I29,0)</f>
        <v>3</v>
      </c>
      <c r="S29" s="27">
        <f>ROUND(CT29*I29,0)</f>
        <v>243</v>
      </c>
      <c r="T29" s="27">
        <f>ROUND(CU29*I29,0)</f>
        <v>0</v>
      </c>
      <c r="U29" s="27">
        <f>CV29*I29</f>
        <v>1.03</v>
      </c>
      <c r="V29" s="27">
        <f>CW29*I29</f>
        <v>0.01</v>
      </c>
      <c r="W29" s="27">
        <f>ROUND(CX29*I29,0)</f>
        <v>0</v>
      </c>
      <c r="X29" s="27">
        <f>ROUND(CY29,0)</f>
        <v>221</v>
      </c>
      <c r="Y29" s="27">
        <f>ROUND(CZ29,0)</f>
        <v>113</v>
      </c>
      <c r="AA29" s="27">
        <v>34787475</v>
      </c>
      <c r="AB29" s="27">
        <f>ROUND((AC29+AD29+AF29),6)</f>
        <v>9.74</v>
      </c>
      <c r="AC29" s="27">
        <f>ROUND((ES29),6)</f>
        <v>0.18</v>
      </c>
      <c r="AD29" s="27">
        <f>ROUND((((ET29)-(EU29))+AE29),6)</f>
        <v>0.66</v>
      </c>
      <c r="AE29" s="27">
        <f>ROUND((EU29),6)</f>
        <v>0.12</v>
      </c>
      <c r="AF29" s="27">
        <f>ROUND((EV29),6)</f>
        <v>8.9</v>
      </c>
      <c r="AG29" s="27">
        <f>ROUND((AP29),6)</f>
        <v>0</v>
      </c>
      <c r="AH29" s="27">
        <f>(EW29)</f>
        <v>1.03</v>
      </c>
      <c r="AI29" s="27">
        <f>(EX29)</f>
        <v>0.01</v>
      </c>
      <c r="AJ29" s="27">
        <f>(AS29)</f>
        <v>0</v>
      </c>
      <c r="AK29" s="27">
        <v>9.74</v>
      </c>
      <c r="AL29" s="27">
        <v>0.18</v>
      </c>
      <c r="AM29" s="27">
        <v>0.66</v>
      </c>
      <c r="AN29" s="27">
        <v>0.12</v>
      </c>
      <c r="AO29" s="27">
        <v>8.9</v>
      </c>
      <c r="AP29" s="27">
        <v>0</v>
      </c>
      <c r="AQ29" s="27">
        <v>1.03</v>
      </c>
      <c r="AR29" s="27">
        <v>0.01</v>
      </c>
      <c r="AS29" s="27">
        <v>0</v>
      </c>
      <c r="AT29" s="27">
        <v>90</v>
      </c>
      <c r="AU29" s="27">
        <v>46</v>
      </c>
      <c r="AV29" s="27">
        <v>1</v>
      </c>
      <c r="AW29" s="27">
        <v>1</v>
      </c>
      <c r="AZ29" s="27">
        <v>1</v>
      </c>
      <c r="BA29" s="27">
        <v>27.34</v>
      </c>
      <c r="BB29" s="27">
        <v>9.32</v>
      </c>
      <c r="BC29" s="27">
        <v>6.66</v>
      </c>
      <c r="BD29" s="27" t="s">
        <v>74</v>
      </c>
      <c r="BE29" s="27" t="s">
        <v>74</v>
      </c>
      <c r="BF29" s="27" t="s">
        <v>74</v>
      </c>
      <c r="BG29" s="27" t="s">
        <v>74</v>
      </c>
      <c r="BH29" s="27">
        <v>0</v>
      </c>
      <c r="BI29" s="27">
        <v>2</v>
      </c>
      <c r="BJ29" s="27" t="s">
        <v>224</v>
      </c>
      <c r="BM29" s="27">
        <v>111002</v>
      </c>
      <c r="BN29" s="27">
        <v>0</v>
      </c>
      <c r="BO29" s="27" t="s">
        <v>74</v>
      </c>
      <c r="BP29" s="27">
        <v>0</v>
      </c>
      <c r="BQ29" s="27">
        <v>3</v>
      </c>
      <c r="BR29" s="27">
        <v>0</v>
      </c>
      <c r="BS29" s="27">
        <v>27.34</v>
      </c>
      <c r="BT29" s="27">
        <v>1</v>
      </c>
      <c r="BU29" s="27">
        <v>1</v>
      </c>
      <c r="BV29" s="27">
        <v>1</v>
      </c>
      <c r="BW29" s="27">
        <v>1</v>
      </c>
      <c r="BX29" s="27">
        <v>1</v>
      </c>
      <c r="BY29" s="27" t="s">
        <v>74</v>
      </c>
      <c r="BZ29" s="27">
        <v>90</v>
      </c>
      <c r="CA29" s="27">
        <v>46</v>
      </c>
      <c r="CB29" s="27" t="s">
        <v>74</v>
      </c>
      <c r="CE29" s="27">
        <v>0</v>
      </c>
      <c r="CF29" s="27">
        <v>0</v>
      </c>
      <c r="CG29" s="27">
        <v>0</v>
      </c>
      <c r="CM29" s="27">
        <v>0</v>
      </c>
      <c r="CN29" s="27" t="s">
        <v>74</v>
      </c>
      <c r="CO29" s="27">
        <v>0</v>
      </c>
      <c r="CP29" s="27">
        <f>(P29+Q29+S29)</f>
        <v>250</v>
      </c>
      <c r="CQ29" s="27">
        <f>AC29*BC29</f>
        <v>1.1988000000000001</v>
      </c>
      <c r="CR29" s="27">
        <f>AD29*BB29</f>
        <v>6.1512000000000002</v>
      </c>
      <c r="CS29" s="27">
        <f>AE29*BS29</f>
        <v>3.2807999999999997</v>
      </c>
      <c r="CT29" s="27">
        <f>AF29*BA29</f>
        <v>243.32600000000002</v>
      </c>
      <c r="CU29" s="27">
        <f>AG29</f>
        <v>0</v>
      </c>
      <c r="CV29" s="27">
        <f>AH29</f>
        <v>1.03</v>
      </c>
      <c r="CW29" s="27">
        <f>AI29</f>
        <v>0.01</v>
      </c>
      <c r="CX29" s="27">
        <f>AJ29</f>
        <v>0</v>
      </c>
      <c r="CY29" s="27">
        <f>(((S29+R29)*AT29)/100)</f>
        <v>221.4</v>
      </c>
      <c r="CZ29" s="27">
        <f>(((S29+R29)*AU29)/100)</f>
        <v>113.16</v>
      </c>
      <c r="DC29" s="27" t="s">
        <v>74</v>
      </c>
      <c r="DD29" s="27" t="s">
        <v>74</v>
      </c>
      <c r="DE29" s="27" t="s">
        <v>74</v>
      </c>
      <c r="DF29" s="27" t="s">
        <v>74</v>
      </c>
      <c r="DG29" s="27" t="s">
        <v>74</v>
      </c>
      <c r="DH29" s="27" t="s">
        <v>74</v>
      </c>
      <c r="DI29" s="27" t="s">
        <v>74</v>
      </c>
      <c r="DJ29" s="27" t="s">
        <v>74</v>
      </c>
      <c r="DK29" s="27" t="s">
        <v>74</v>
      </c>
      <c r="DL29" s="27" t="s">
        <v>74</v>
      </c>
      <c r="DM29" s="27" t="s">
        <v>74</v>
      </c>
      <c r="DN29" s="27">
        <v>97</v>
      </c>
      <c r="DO29" s="27">
        <v>51</v>
      </c>
      <c r="DP29" s="27">
        <v>1</v>
      </c>
      <c r="DQ29" s="27">
        <v>1</v>
      </c>
      <c r="DU29" s="27">
        <v>1013</v>
      </c>
      <c r="DV29" s="27" t="s">
        <v>218</v>
      </c>
      <c r="DW29" s="27" t="s">
        <v>218</v>
      </c>
      <c r="DX29" s="27">
        <v>1</v>
      </c>
      <c r="DZ29" s="27" t="s">
        <v>74</v>
      </c>
      <c r="EA29" s="27" t="s">
        <v>74</v>
      </c>
      <c r="EB29" s="27" t="s">
        <v>74</v>
      </c>
      <c r="EC29" s="27" t="s">
        <v>74</v>
      </c>
      <c r="EE29" s="27">
        <v>32940328</v>
      </c>
      <c r="EF29" s="27">
        <v>3</v>
      </c>
      <c r="EG29" s="27" t="s">
        <v>210</v>
      </c>
      <c r="EH29" s="27">
        <v>0</v>
      </c>
      <c r="EI29" s="27" t="s">
        <v>74</v>
      </c>
      <c r="EJ29" s="27">
        <v>2</v>
      </c>
      <c r="EK29" s="27">
        <v>111002</v>
      </c>
      <c r="EL29" s="27" t="s">
        <v>223</v>
      </c>
      <c r="EM29" s="27" t="s">
        <v>222</v>
      </c>
      <c r="EO29" s="27" t="s">
        <v>74</v>
      </c>
      <c r="EQ29" s="27">
        <v>0</v>
      </c>
      <c r="ER29" s="27">
        <v>9.74</v>
      </c>
      <c r="ES29" s="27">
        <v>0.18</v>
      </c>
      <c r="ET29" s="27">
        <v>0.66</v>
      </c>
      <c r="EU29" s="27">
        <v>0.12</v>
      </c>
      <c r="EV29" s="27">
        <v>8.9</v>
      </c>
      <c r="EW29" s="27">
        <v>1.03</v>
      </c>
      <c r="EX29" s="27">
        <v>0.01</v>
      </c>
      <c r="EY29" s="27">
        <v>0</v>
      </c>
      <c r="FQ29" s="27">
        <v>0</v>
      </c>
      <c r="FR29" s="27">
        <f>ROUND(IF(AND(BH29=3,BI29=3),P29,0),0)</f>
        <v>0</v>
      </c>
      <c r="FS29" s="27">
        <v>0</v>
      </c>
      <c r="FX29" s="27">
        <v>90</v>
      </c>
      <c r="FY29" s="27">
        <v>46</v>
      </c>
      <c r="GA29" s="27" t="s">
        <v>74</v>
      </c>
      <c r="GD29" s="27">
        <v>1</v>
      </c>
      <c r="GF29" s="27">
        <v>-1695009325</v>
      </c>
      <c r="GG29" s="27">
        <v>2</v>
      </c>
      <c r="GH29" s="27">
        <v>1</v>
      </c>
      <c r="GI29" s="27">
        <v>3</v>
      </c>
      <c r="GJ29" s="27">
        <v>0</v>
      </c>
      <c r="GK29" s="27">
        <v>0</v>
      </c>
      <c r="GL29" s="27">
        <f>ROUND(IF(AND(BH29=3,BI29=3,FS29&lt;&gt;0),P29,0),0)</f>
        <v>0</v>
      </c>
      <c r="GM29" s="27">
        <f>ROUND(O29+X29+Y29,0)+GX29</f>
        <v>584</v>
      </c>
      <c r="GN29" s="27">
        <f>IF(OR(BI29=0,BI29=1),ROUND(O29+X29+Y29,0),0)</f>
        <v>0</v>
      </c>
      <c r="GO29" s="27">
        <f>IF(BI29=2,ROUND(O29+X29+Y29,0),0)</f>
        <v>584</v>
      </c>
      <c r="GP29" s="27">
        <f>IF(BI29=4,ROUND(O29+X29+Y29,0)+GX29,0)</f>
        <v>0</v>
      </c>
      <c r="GR29" s="27">
        <v>0</v>
      </c>
      <c r="GS29" s="27">
        <v>3</v>
      </c>
      <c r="GT29" s="27">
        <v>0</v>
      </c>
      <c r="GU29" s="27" t="s">
        <v>74</v>
      </c>
      <c r="GV29" s="27">
        <f>ROUND((GT29),6)</f>
        <v>0</v>
      </c>
      <c r="GW29" s="27">
        <v>1</v>
      </c>
      <c r="GX29" s="27">
        <f>ROUND(HC29*I29,0)</f>
        <v>0</v>
      </c>
      <c r="HA29" s="27">
        <v>0</v>
      </c>
      <c r="HB29" s="27">
        <v>0</v>
      </c>
      <c r="HC29" s="27">
        <f>GV29*GW29</f>
        <v>0</v>
      </c>
      <c r="HE29" s="27" t="s">
        <v>74</v>
      </c>
      <c r="HF29" s="27" t="s">
        <v>74</v>
      </c>
      <c r="HM29" s="27" t="s">
        <v>74</v>
      </c>
      <c r="HN29" s="27" t="s">
        <v>74</v>
      </c>
      <c r="HO29" s="27" t="s">
        <v>74</v>
      </c>
      <c r="HP29" s="27" t="s">
        <v>74</v>
      </c>
      <c r="HQ29" s="27" t="s">
        <v>74</v>
      </c>
      <c r="IK29" s="27">
        <v>0</v>
      </c>
    </row>
    <row r="30" spans="1:245" x14ac:dyDescent="0.2">
      <c r="A30" s="27">
        <v>17</v>
      </c>
      <c r="B30" s="27">
        <v>1</v>
      </c>
      <c r="C30" s="27">
        <f>ROW(SmtRes!A30)</f>
        <v>30</v>
      </c>
      <c r="D30" s="27">
        <f>ROW(EtalonRes!A30)</f>
        <v>30</v>
      </c>
      <c r="E30" s="27" t="s">
        <v>201</v>
      </c>
      <c r="F30" s="27" t="s">
        <v>221</v>
      </c>
      <c r="G30" s="27" t="s">
        <v>220</v>
      </c>
      <c r="H30" s="27" t="s">
        <v>218</v>
      </c>
      <c r="I30" s="27">
        <f>ROUND(ROUND(1,2),7)</f>
        <v>1</v>
      </c>
      <c r="J30" s="27">
        <v>0</v>
      </c>
      <c r="K30" s="27">
        <f>ROUND(ROUND(1,2),7)</f>
        <v>1</v>
      </c>
      <c r="O30" s="27">
        <f>ROUND(CP30,0)</f>
        <v>6181</v>
      </c>
      <c r="P30" s="27">
        <f>ROUND(CQ30*I30,0)</f>
        <v>1912</v>
      </c>
      <c r="Q30" s="27">
        <f>ROUND(CR30*I30,0)</f>
        <v>587</v>
      </c>
      <c r="R30" s="27">
        <f>ROUND(CS30*I30,0)</f>
        <v>192</v>
      </c>
      <c r="S30" s="27">
        <f>ROUND(CT30*I30,0)</f>
        <v>3682</v>
      </c>
      <c r="T30" s="27">
        <f>ROUND(CU30*I30,0)</f>
        <v>0</v>
      </c>
      <c r="U30" s="27">
        <f>CV30*I30</f>
        <v>14</v>
      </c>
      <c r="V30" s="27">
        <f>CW30*I30</f>
        <v>0.7</v>
      </c>
      <c r="W30" s="27">
        <f>ROUND(CX30*I30,0)</f>
        <v>0</v>
      </c>
      <c r="X30" s="27">
        <f>ROUND(CY30,0)</f>
        <v>3680</v>
      </c>
      <c r="Y30" s="27">
        <f>ROUND(CZ30,0)</f>
        <v>2053</v>
      </c>
      <c r="AA30" s="27">
        <v>34787475</v>
      </c>
      <c r="AB30" s="27">
        <f>ROUND((AC30+AD30+AF30),6)</f>
        <v>484.72</v>
      </c>
      <c r="AC30" s="27">
        <f>ROUND((ES30),6)</f>
        <v>287.05</v>
      </c>
      <c r="AD30" s="27">
        <f>ROUND((((ET30)-(EU30))+AE30),6)</f>
        <v>62.99</v>
      </c>
      <c r="AE30" s="27">
        <f>ROUND((EU30),6)</f>
        <v>7.04</v>
      </c>
      <c r="AF30" s="27">
        <f>ROUND((EV30),6)</f>
        <v>134.68</v>
      </c>
      <c r="AG30" s="27">
        <f>ROUND((AP30),6)</f>
        <v>0</v>
      </c>
      <c r="AH30" s="27">
        <f>(EW30)</f>
        <v>14</v>
      </c>
      <c r="AI30" s="27">
        <f>(EX30)</f>
        <v>0.7</v>
      </c>
      <c r="AJ30" s="27">
        <f>(AS30)</f>
        <v>0</v>
      </c>
      <c r="AK30" s="27">
        <v>484.72</v>
      </c>
      <c r="AL30" s="27">
        <v>287.05</v>
      </c>
      <c r="AM30" s="27">
        <v>62.99</v>
      </c>
      <c r="AN30" s="27">
        <v>7.04</v>
      </c>
      <c r="AO30" s="27">
        <v>134.68</v>
      </c>
      <c r="AP30" s="27">
        <v>0</v>
      </c>
      <c r="AQ30" s="27">
        <v>14</v>
      </c>
      <c r="AR30" s="27">
        <v>0.7</v>
      </c>
      <c r="AS30" s="27">
        <v>0</v>
      </c>
      <c r="AT30" s="27">
        <v>95</v>
      </c>
      <c r="AU30" s="27">
        <v>53</v>
      </c>
      <c r="AV30" s="27">
        <v>1</v>
      </c>
      <c r="AW30" s="27">
        <v>1</v>
      </c>
      <c r="AZ30" s="27">
        <v>1</v>
      </c>
      <c r="BA30" s="27">
        <v>27.34</v>
      </c>
      <c r="BB30" s="27">
        <v>9.32</v>
      </c>
      <c r="BC30" s="27">
        <v>6.66</v>
      </c>
      <c r="BD30" s="27" t="s">
        <v>74</v>
      </c>
      <c r="BE30" s="27" t="s">
        <v>74</v>
      </c>
      <c r="BF30" s="27" t="s">
        <v>74</v>
      </c>
      <c r="BG30" s="27" t="s">
        <v>74</v>
      </c>
      <c r="BH30" s="27">
        <v>0</v>
      </c>
      <c r="BI30" s="27">
        <v>2</v>
      </c>
      <c r="BJ30" s="27" t="s">
        <v>219</v>
      </c>
      <c r="BM30" s="27">
        <v>110004</v>
      </c>
      <c r="BN30" s="27">
        <v>0</v>
      </c>
      <c r="BO30" s="27" t="s">
        <v>74</v>
      </c>
      <c r="BP30" s="27">
        <v>0</v>
      </c>
      <c r="BQ30" s="27">
        <v>3</v>
      </c>
      <c r="BR30" s="27">
        <v>0</v>
      </c>
      <c r="BS30" s="27">
        <v>27.34</v>
      </c>
      <c r="BT30" s="27">
        <v>1</v>
      </c>
      <c r="BU30" s="27">
        <v>1</v>
      </c>
      <c r="BV30" s="27">
        <v>1</v>
      </c>
      <c r="BW30" s="27">
        <v>1</v>
      </c>
      <c r="BX30" s="27">
        <v>1</v>
      </c>
      <c r="BY30" s="27" t="s">
        <v>74</v>
      </c>
      <c r="BZ30" s="27">
        <v>95</v>
      </c>
      <c r="CA30" s="27">
        <v>53</v>
      </c>
      <c r="CB30" s="27" t="s">
        <v>74</v>
      </c>
      <c r="CE30" s="27">
        <v>0</v>
      </c>
      <c r="CF30" s="27">
        <v>0</v>
      </c>
      <c r="CG30" s="27">
        <v>0</v>
      </c>
      <c r="CM30" s="27">
        <v>0</v>
      </c>
      <c r="CN30" s="27" t="s">
        <v>74</v>
      </c>
      <c r="CO30" s="27">
        <v>0</v>
      </c>
      <c r="CP30" s="27">
        <f>(P30+Q30+S30)</f>
        <v>6181</v>
      </c>
      <c r="CQ30" s="27">
        <f>AC30*BC30</f>
        <v>1911.7530000000002</v>
      </c>
      <c r="CR30" s="27">
        <f>AD30*BB30</f>
        <v>587.06680000000006</v>
      </c>
      <c r="CS30" s="27">
        <f>AE30*BS30</f>
        <v>192.4736</v>
      </c>
      <c r="CT30" s="27">
        <f>AF30*BA30</f>
        <v>3682.1512000000002</v>
      </c>
      <c r="CU30" s="27">
        <f>AG30</f>
        <v>0</v>
      </c>
      <c r="CV30" s="27">
        <f>AH30</f>
        <v>14</v>
      </c>
      <c r="CW30" s="27">
        <f>AI30</f>
        <v>0.7</v>
      </c>
      <c r="CX30" s="27">
        <f>AJ30</f>
        <v>0</v>
      </c>
      <c r="CY30" s="27">
        <f>(((S30+R30)*AT30)/100)</f>
        <v>3680.3</v>
      </c>
      <c r="CZ30" s="27">
        <f>(((S30+R30)*AU30)/100)</f>
        <v>2053.2199999999998</v>
      </c>
      <c r="DC30" s="27" t="s">
        <v>74</v>
      </c>
      <c r="DD30" s="27" t="s">
        <v>74</v>
      </c>
      <c r="DE30" s="27" t="s">
        <v>74</v>
      </c>
      <c r="DF30" s="27" t="s">
        <v>74</v>
      </c>
      <c r="DG30" s="27" t="s">
        <v>74</v>
      </c>
      <c r="DH30" s="27" t="s">
        <v>74</v>
      </c>
      <c r="DI30" s="27" t="s">
        <v>74</v>
      </c>
      <c r="DJ30" s="27" t="s">
        <v>74</v>
      </c>
      <c r="DK30" s="27" t="s">
        <v>74</v>
      </c>
      <c r="DL30" s="27" t="s">
        <v>74</v>
      </c>
      <c r="DM30" s="27" t="s">
        <v>74</v>
      </c>
      <c r="DN30" s="27">
        <v>97</v>
      </c>
      <c r="DO30" s="27">
        <v>51</v>
      </c>
      <c r="DP30" s="27">
        <v>1</v>
      </c>
      <c r="DQ30" s="27">
        <v>1</v>
      </c>
      <c r="DU30" s="27">
        <v>1013</v>
      </c>
      <c r="DV30" s="27" t="s">
        <v>218</v>
      </c>
      <c r="DW30" s="27" t="s">
        <v>218</v>
      </c>
      <c r="DX30" s="27">
        <v>1</v>
      </c>
      <c r="DZ30" s="27" t="s">
        <v>74</v>
      </c>
      <c r="EA30" s="27" t="s">
        <v>74</v>
      </c>
      <c r="EB30" s="27" t="s">
        <v>74</v>
      </c>
      <c r="EC30" s="27" t="s">
        <v>74</v>
      </c>
      <c r="EE30" s="27">
        <v>32940324</v>
      </c>
      <c r="EF30" s="27">
        <v>3</v>
      </c>
      <c r="EG30" s="27" t="s">
        <v>210</v>
      </c>
      <c r="EH30" s="27">
        <v>0</v>
      </c>
      <c r="EI30" s="27" t="s">
        <v>74</v>
      </c>
      <c r="EJ30" s="27">
        <v>2</v>
      </c>
      <c r="EK30" s="27">
        <v>110004</v>
      </c>
      <c r="EL30" s="27" t="s">
        <v>217</v>
      </c>
      <c r="EM30" s="27" t="s">
        <v>216</v>
      </c>
      <c r="EO30" s="27" t="s">
        <v>74</v>
      </c>
      <c r="EQ30" s="27">
        <v>0</v>
      </c>
      <c r="ER30" s="27">
        <v>484.72</v>
      </c>
      <c r="ES30" s="27">
        <v>287.05</v>
      </c>
      <c r="ET30" s="27">
        <v>62.99</v>
      </c>
      <c r="EU30" s="27">
        <v>7.04</v>
      </c>
      <c r="EV30" s="27">
        <v>134.68</v>
      </c>
      <c r="EW30" s="27">
        <v>14</v>
      </c>
      <c r="EX30" s="27">
        <v>0.7</v>
      </c>
      <c r="EY30" s="27">
        <v>0</v>
      </c>
      <c r="FQ30" s="27">
        <v>0</v>
      </c>
      <c r="FR30" s="27">
        <f>ROUND(IF(AND(BH30=3,BI30=3),P30,0),0)</f>
        <v>0</v>
      </c>
      <c r="FS30" s="27">
        <v>0</v>
      </c>
      <c r="FX30" s="27">
        <v>95</v>
      </c>
      <c r="FY30" s="27">
        <v>53</v>
      </c>
      <c r="GA30" s="27" t="s">
        <v>74</v>
      </c>
      <c r="GD30" s="27">
        <v>1</v>
      </c>
      <c r="GF30" s="27">
        <v>1358909078</v>
      </c>
      <c r="GG30" s="27">
        <v>2</v>
      </c>
      <c r="GH30" s="27">
        <v>1</v>
      </c>
      <c r="GI30" s="27">
        <v>3</v>
      </c>
      <c r="GJ30" s="27">
        <v>0</v>
      </c>
      <c r="GK30" s="27">
        <v>0</v>
      </c>
      <c r="GL30" s="27">
        <f>ROUND(IF(AND(BH30=3,BI30=3,FS30&lt;&gt;0),P30,0),0)</f>
        <v>0</v>
      </c>
      <c r="GM30" s="27">
        <f>ROUND(O30+X30+Y30,0)+GX30</f>
        <v>11914</v>
      </c>
      <c r="GN30" s="27">
        <f>IF(OR(BI30=0,BI30=1),ROUND(O30+X30+Y30,0),0)</f>
        <v>0</v>
      </c>
      <c r="GO30" s="27">
        <f>IF(BI30=2,ROUND(O30+X30+Y30,0),0)</f>
        <v>11914</v>
      </c>
      <c r="GP30" s="27">
        <f>IF(BI30=4,ROUND(O30+X30+Y30,0)+GX30,0)</f>
        <v>0</v>
      </c>
      <c r="GR30" s="27">
        <v>0</v>
      </c>
      <c r="GS30" s="27">
        <v>3</v>
      </c>
      <c r="GT30" s="27">
        <v>0</v>
      </c>
      <c r="GU30" s="27" t="s">
        <v>74</v>
      </c>
      <c r="GV30" s="27">
        <f>ROUND((GT30),6)</f>
        <v>0</v>
      </c>
      <c r="GW30" s="27">
        <v>1</v>
      </c>
      <c r="GX30" s="27">
        <f>ROUND(HC30*I30,0)</f>
        <v>0</v>
      </c>
      <c r="HA30" s="27">
        <v>0</v>
      </c>
      <c r="HB30" s="27">
        <v>0</v>
      </c>
      <c r="HC30" s="27">
        <f>GV30*GW30</f>
        <v>0</v>
      </c>
      <c r="HE30" s="27" t="s">
        <v>74</v>
      </c>
      <c r="HF30" s="27" t="s">
        <v>74</v>
      </c>
      <c r="HM30" s="27" t="s">
        <v>74</v>
      </c>
      <c r="HN30" s="27" t="s">
        <v>74</v>
      </c>
      <c r="HO30" s="27" t="s">
        <v>74</v>
      </c>
      <c r="HP30" s="27" t="s">
        <v>74</v>
      </c>
      <c r="HQ30" s="27" t="s">
        <v>74</v>
      </c>
      <c r="IK30" s="27">
        <v>0</v>
      </c>
    </row>
    <row r="31" spans="1:245" x14ac:dyDescent="0.2">
      <c r="A31" s="27">
        <v>17</v>
      </c>
      <c r="B31" s="27">
        <v>1</v>
      </c>
      <c r="C31" s="27">
        <f>ROW(SmtRes!A43)</f>
        <v>43</v>
      </c>
      <c r="D31" s="27">
        <f>ROW(EtalonRes!A43)</f>
        <v>43</v>
      </c>
      <c r="E31" s="27" t="s">
        <v>215</v>
      </c>
      <c r="F31" s="27" t="s">
        <v>214</v>
      </c>
      <c r="G31" s="27" t="s">
        <v>213</v>
      </c>
      <c r="H31" s="27" t="s">
        <v>211</v>
      </c>
      <c r="I31" s="27">
        <f>ROUND(ROUND((2+1)/100,2),7)</f>
        <v>0.03</v>
      </c>
      <c r="J31" s="27">
        <v>0</v>
      </c>
      <c r="K31" s="27">
        <f>ROUND(ROUND((2+1)/100,2),7)</f>
        <v>0.03</v>
      </c>
      <c r="O31" s="27">
        <f>ROUND(CP31,0)</f>
        <v>147</v>
      </c>
      <c r="P31" s="27">
        <f>ROUND(CQ31*I31,0)</f>
        <v>20</v>
      </c>
      <c r="Q31" s="27">
        <f>ROUND(CR31*I31,0)</f>
        <v>1</v>
      </c>
      <c r="R31" s="27">
        <f>ROUND(CS31*I31,0)</f>
        <v>0</v>
      </c>
      <c r="S31" s="27">
        <f>ROUND(CT31*I31,0)</f>
        <v>126</v>
      </c>
      <c r="T31" s="27">
        <f>ROUND(CU31*I31,0)</f>
        <v>0</v>
      </c>
      <c r="U31" s="27">
        <f>CV31*I31</f>
        <v>0.46349999999999997</v>
      </c>
      <c r="V31" s="27">
        <f>CW31*I31</f>
        <v>5.9999999999999995E-4</v>
      </c>
      <c r="W31" s="27">
        <f>ROUND(CX31*I31,0)</f>
        <v>0</v>
      </c>
      <c r="X31" s="27">
        <f>ROUND(CY31,0)</f>
        <v>122</v>
      </c>
      <c r="Y31" s="27">
        <f>ROUND(CZ31,0)</f>
        <v>64</v>
      </c>
      <c r="AA31" s="27">
        <v>34787475</v>
      </c>
      <c r="AB31" s="27">
        <f>ROUND((AC31+AD31+AF31),6)</f>
        <v>253.9</v>
      </c>
      <c r="AC31" s="27">
        <f>ROUND((ES31),6)</f>
        <v>98.83</v>
      </c>
      <c r="AD31" s="27">
        <f>ROUND((((ET31)-(EU31))+AE31),6)</f>
        <v>1.81</v>
      </c>
      <c r="AE31" s="27">
        <f>ROUND((EU31),6)</f>
        <v>0.26</v>
      </c>
      <c r="AF31" s="27">
        <f>ROUND((EV31),6)</f>
        <v>153.26</v>
      </c>
      <c r="AG31" s="27">
        <f>ROUND((AP31),6)</f>
        <v>0</v>
      </c>
      <c r="AH31" s="27">
        <f>(EW31)</f>
        <v>15.45</v>
      </c>
      <c r="AI31" s="27">
        <f>(EX31)</f>
        <v>0.02</v>
      </c>
      <c r="AJ31" s="27">
        <f>(AS31)</f>
        <v>0</v>
      </c>
      <c r="AK31" s="27">
        <v>253.9</v>
      </c>
      <c r="AL31" s="27">
        <v>98.83</v>
      </c>
      <c r="AM31" s="27">
        <v>1.81</v>
      </c>
      <c r="AN31" s="27">
        <v>0.26</v>
      </c>
      <c r="AO31" s="27">
        <v>153.26</v>
      </c>
      <c r="AP31" s="27">
        <v>0</v>
      </c>
      <c r="AQ31" s="27">
        <v>15.45</v>
      </c>
      <c r="AR31" s="27">
        <v>0.02</v>
      </c>
      <c r="AS31" s="27">
        <v>0</v>
      </c>
      <c r="AT31" s="27">
        <v>97</v>
      </c>
      <c r="AU31" s="27">
        <v>51</v>
      </c>
      <c r="AV31" s="27">
        <v>1</v>
      </c>
      <c r="AW31" s="27">
        <v>1</v>
      </c>
      <c r="AZ31" s="27">
        <v>1</v>
      </c>
      <c r="BA31" s="27">
        <v>27.34</v>
      </c>
      <c r="BB31" s="27">
        <v>9.32</v>
      </c>
      <c r="BC31" s="27">
        <v>6.66</v>
      </c>
      <c r="BD31" s="27" t="s">
        <v>74</v>
      </c>
      <c r="BE31" s="27" t="s">
        <v>74</v>
      </c>
      <c r="BF31" s="27" t="s">
        <v>74</v>
      </c>
      <c r="BG31" s="27" t="s">
        <v>74</v>
      </c>
      <c r="BH31" s="27">
        <v>0</v>
      </c>
      <c r="BI31" s="27">
        <v>2</v>
      </c>
      <c r="BJ31" s="27" t="s">
        <v>212</v>
      </c>
      <c r="BM31" s="27">
        <v>108001</v>
      </c>
      <c r="BN31" s="27">
        <v>0</v>
      </c>
      <c r="BO31" s="27" t="s">
        <v>74</v>
      </c>
      <c r="BP31" s="27">
        <v>0</v>
      </c>
      <c r="BQ31" s="27">
        <v>3</v>
      </c>
      <c r="BR31" s="27">
        <v>0</v>
      </c>
      <c r="BS31" s="27">
        <v>27.34</v>
      </c>
      <c r="BT31" s="27">
        <v>1</v>
      </c>
      <c r="BU31" s="27">
        <v>1</v>
      </c>
      <c r="BV31" s="27">
        <v>1</v>
      </c>
      <c r="BW31" s="27">
        <v>1</v>
      </c>
      <c r="BX31" s="27">
        <v>1</v>
      </c>
      <c r="BY31" s="27" t="s">
        <v>74</v>
      </c>
      <c r="BZ31" s="27">
        <v>97</v>
      </c>
      <c r="CA31" s="27">
        <v>51</v>
      </c>
      <c r="CB31" s="27" t="s">
        <v>74</v>
      </c>
      <c r="CE31" s="27">
        <v>0</v>
      </c>
      <c r="CF31" s="27">
        <v>0</v>
      </c>
      <c r="CG31" s="27">
        <v>0</v>
      </c>
      <c r="CM31" s="27">
        <v>0</v>
      </c>
      <c r="CN31" s="27" t="s">
        <v>74</v>
      </c>
      <c r="CO31" s="27">
        <v>0</v>
      </c>
      <c r="CP31" s="27">
        <f>(P31+Q31+S31)</f>
        <v>147</v>
      </c>
      <c r="CQ31" s="27">
        <f>AC31*BC31</f>
        <v>658.20780000000002</v>
      </c>
      <c r="CR31" s="27">
        <f>AD31*BB31</f>
        <v>16.869199999999999</v>
      </c>
      <c r="CS31" s="27">
        <f>AE31*BS31</f>
        <v>7.1084000000000005</v>
      </c>
      <c r="CT31" s="27">
        <f>AF31*BA31</f>
        <v>4190.1283999999996</v>
      </c>
      <c r="CU31" s="27">
        <f>AG31</f>
        <v>0</v>
      </c>
      <c r="CV31" s="27">
        <f>AH31</f>
        <v>15.45</v>
      </c>
      <c r="CW31" s="27">
        <f>AI31</f>
        <v>0.02</v>
      </c>
      <c r="CX31" s="27">
        <f>AJ31</f>
        <v>0</v>
      </c>
      <c r="CY31" s="27">
        <f>(((S31+R31)*AT31)/100)</f>
        <v>122.22</v>
      </c>
      <c r="CZ31" s="27">
        <f>(((S31+R31)*AU31)/100)</f>
        <v>64.260000000000005</v>
      </c>
      <c r="DC31" s="27" t="s">
        <v>74</v>
      </c>
      <c r="DD31" s="27" t="s">
        <v>74</v>
      </c>
      <c r="DE31" s="27" t="s">
        <v>74</v>
      </c>
      <c r="DF31" s="27" t="s">
        <v>74</v>
      </c>
      <c r="DG31" s="27" t="s">
        <v>74</v>
      </c>
      <c r="DH31" s="27" t="s">
        <v>74</v>
      </c>
      <c r="DI31" s="27" t="s">
        <v>74</v>
      </c>
      <c r="DJ31" s="27" t="s">
        <v>74</v>
      </c>
      <c r="DK31" s="27" t="s">
        <v>74</v>
      </c>
      <c r="DL31" s="27" t="s">
        <v>74</v>
      </c>
      <c r="DM31" s="27" t="s">
        <v>74</v>
      </c>
      <c r="DN31" s="27">
        <v>97</v>
      </c>
      <c r="DO31" s="27">
        <v>51</v>
      </c>
      <c r="DP31" s="27">
        <v>1</v>
      </c>
      <c r="DQ31" s="27">
        <v>1</v>
      </c>
      <c r="DU31" s="27">
        <v>1013</v>
      </c>
      <c r="DV31" s="27" t="s">
        <v>211</v>
      </c>
      <c r="DW31" s="27" t="s">
        <v>211</v>
      </c>
      <c r="DX31" s="27">
        <v>1</v>
      </c>
      <c r="DZ31" s="27" t="s">
        <v>74</v>
      </c>
      <c r="EA31" s="27" t="s">
        <v>74</v>
      </c>
      <c r="EB31" s="27" t="s">
        <v>74</v>
      </c>
      <c r="EC31" s="27" t="s">
        <v>74</v>
      </c>
      <c r="EE31" s="27">
        <v>32940318</v>
      </c>
      <c r="EF31" s="27">
        <v>3</v>
      </c>
      <c r="EG31" s="27" t="s">
        <v>210</v>
      </c>
      <c r="EH31" s="27">
        <v>0</v>
      </c>
      <c r="EI31" s="27" t="s">
        <v>74</v>
      </c>
      <c r="EJ31" s="27">
        <v>2</v>
      </c>
      <c r="EK31" s="27">
        <v>108001</v>
      </c>
      <c r="EL31" s="27" t="s">
        <v>209</v>
      </c>
      <c r="EM31" s="27" t="s">
        <v>208</v>
      </c>
      <c r="EO31" s="27" t="s">
        <v>74</v>
      </c>
      <c r="EQ31" s="27">
        <v>0</v>
      </c>
      <c r="ER31" s="27">
        <v>253.9</v>
      </c>
      <c r="ES31" s="27">
        <v>98.83</v>
      </c>
      <c r="ET31" s="27">
        <v>1.81</v>
      </c>
      <c r="EU31" s="27">
        <v>0.26</v>
      </c>
      <c r="EV31" s="27">
        <v>153.26</v>
      </c>
      <c r="EW31" s="27">
        <v>15.45</v>
      </c>
      <c r="EX31" s="27">
        <v>0.02</v>
      </c>
      <c r="EY31" s="27">
        <v>0</v>
      </c>
      <c r="FQ31" s="27">
        <v>0</v>
      </c>
      <c r="FR31" s="27">
        <f>ROUND(IF(AND(BH31=3,BI31=3),P31,0),0)</f>
        <v>0</v>
      </c>
      <c r="FS31" s="27">
        <v>0</v>
      </c>
      <c r="FX31" s="27">
        <v>97</v>
      </c>
      <c r="FY31" s="27">
        <v>51</v>
      </c>
      <c r="GA31" s="27" t="s">
        <v>74</v>
      </c>
      <c r="GD31" s="27">
        <v>1</v>
      </c>
      <c r="GF31" s="27">
        <v>-447324041</v>
      </c>
      <c r="GG31" s="27">
        <v>2</v>
      </c>
      <c r="GH31" s="27">
        <v>1</v>
      </c>
      <c r="GI31" s="27">
        <v>3</v>
      </c>
      <c r="GJ31" s="27">
        <v>0</v>
      </c>
      <c r="GK31" s="27">
        <v>0</v>
      </c>
      <c r="GL31" s="27">
        <f>ROUND(IF(AND(BH31=3,BI31=3,FS31&lt;&gt;0),P31,0),0)</f>
        <v>0</v>
      </c>
      <c r="GM31" s="27">
        <f>ROUND(O31+X31+Y31,0)+GX31</f>
        <v>333</v>
      </c>
      <c r="GN31" s="27">
        <f>IF(OR(BI31=0,BI31=1),ROUND(O31+X31+Y31,0),0)</f>
        <v>0</v>
      </c>
      <c r="GO31" s="27">
        <f>IF(BI31=2,ROUND(O31+X31+Y31,0),0)</f>
        <v>333</v>
      </c>
      <c r="GP31" s="27">
        <f>IF(BI31=4,ROUND(O31+X31+Y31,0)+GX31,0)</f>
        <v>0</v>
      </c>
      <c r="GR31" s="27">
        <v>0</v>
      </c>
      <c r="GS31" s="27">
        <v>3</v>
      </c>
      <c r="GT31" s="27">
        <v>0</v>
      </c>
      <c r="GU31" s="27" t="s">
        <v>74</v>
      </c>
      <c r="GV31" s="27">
        <f>ROUND((GT31),6)</f>
        <v>0</v>
      </c>
      <c r="GW31" s="27">
        <v>1</v>
      </c>
      <c r="GX31" s="27">
        <f>ROUND(HC31*I31,0)</f>
        <v>0</v>
      </c>
      <c r="HA31" s="27">
        <v>0</v>
      </c>
      <c r="HB31" s="27">
        <v>0</v>
      </c>
      <c r="HC31" s="27">
        <f>GV31*GW31</f>
        <v>0</v>
      </c>
      <c r="HE31" s="27" t="s">
        <v>74</v>
      </c>
      <c r="HF31" s="27" t="s">
        <v>74</v>
      </c>
      <c r="HM31" s="27" t="s">
        <v>74</v>
      </c>
      <c r="HN31" s="27" t="s">
        <v>74</v>
      </c>
      <c r="HO31" s="27" t="s">
        <v>74</v>
      </c>
      <c r="HP31" s="27" t="s">
        <v>74</v>
      </c>
      <c r="HQ31" s="27" t="s">
        <v>74</v>
      </c>
      <c r="IK31" s="27">
        <v>0</v>
      </c>
    </row>
    <row r="33" spans="1:206" x14ac:dyDescent="0.2">
      <c r="A33" s="100">
        <v>51</v>
      </c>
      <c r="B33" s="100">
        <f>B24</f>
        <v>1</v>
      </c>
      <c r="C33" s="100">
        <f>A24</f>
        <v>4</v>
      </c>
      <c r="D33" s="100">
        <f>ROW(A24)</f>
        <v>24</v>
      </c>
      <c r="E33" s="100"/>
      <c r="F33" s="100" t="str">
        <f>IF(F24&lt;&gt;"",F24,"")</f>
        <v>Новый раздел</v>
      </c>
      <c r="G33" s="100" t="str">
        <f>IF(G24&lt;&gt;"",G24,"")</f>
        <v>Монтажные работы</v>
      </c>
      <c r="H33" s="100">
        <v>0</v>
      </c>
      <c r="I33" s="100"/>
      <c r="J33" s="100"/>
      <c r="K33" s="100"/>
      <c r="L33" s="100"/>
      <c r="M33" s="100"/>
      <c r="N33" s="100"/>
      <c r="O33" s="100">
        <f>ROUND(AB33,0)</f>
        <v>6914</v>
      </c>
      <c r="P33" s="100">
        <f>ROUND(AC33,0)</f>
        <v>2088</v>
      </c>
      <c r="Q33" s="100">
        <f>ROUND(AD33,0)</f>
        <v>651</v>
      </c>
      <c r="R33" s="100">
        <f>ROUND(AE33,0)</f>
        <v>211</v>
      </c>
      <c r="S33" s="100">
        <f>ROUND(AF33,0)</f>
        <v>4175</v>
      </c>
      <c r="T33" s="100">
        <f>ROUND(AG33,0)</f>
        <v>0</v>
      </c>
      <c r="U33" s="100">
        <f>AH33</f>
        <v>16.013500000000001</v>
      </c>
      <c r="V33" s="100">
        <f>AI33</f>
        <v>0.77059999999999995</v>
      </c>
      <c r="W33" s="100">
        <f>ROUND(AJ33,0)</f>
        <v>0</v>
      </c>
      <c r="X33" s="100">
        <f>ROUND(AK33,0)</f>
        <v>4149</v>
      </c>
      <c r="Y33" s="100">
        <f>ROUND(AL33,0)</f>
        <v>2294</v>
      </c>
      <c r="Z33" s="100"/>
      <c r="AA33" s="100"/>
      <c r="AB33" s="100">
        <f>ROUND(SUMIF(AA28:AA31,"=34787475",O28:O31),0)</f>
        <v>6914</v>
      </c>
      <c r="AC33" s="100">
        <f>ROUND(SUMIF(AA28:AA31,"=34787475",P28:P31),0)</f>
        <v>2088</v>
      </c>
      <c r="AD33" s="100">
        <f>ROUND(SUMIF(AA28:AA31,"=34787475",Q28:Q31),0)</f>
        <v>651</v>
      </c>
      <c r="AE33" s="100">
        <f>ROUND(SUMIF(AA28:AA31,"=34787475",R28:R31),0)</f>
        <v>211</v>
      </c>
      <c r="AF33" s="100">
        <f>ROUND(SUMIF(AA28:AA31,"=34787475",S28:S31),0)</f>
        <v>4175</v>
      </c>
      <c r="AG33" s="100">
        <f>ROUND(SUMIF(AA28:AA31,"=34787475",T28:T31),0)</f>
        <v>0</v>
      </c>
      <c r="AH33" s="100">
        <f>SUMIF(AA28:AA31,"=34787475",U28:U31)</f>
        <v>16.013500000000001</v>
      </c>
      <c r="AI33" s="100">
        <f>SUMIF(AA28:AA31,"=34787475",V28:V31)</f>
        <v>0.77059999999999995</v>
      </c>
      <c r="AJ33" s="100">
        <f>ROUND(SUMIF(AA28:AA31,"=34787475",W28:W31),0)</f>
        <v>0</v>
      </c>
      <c r="AK33" s="100">
        <f>ROUND(SUMIF(AA28:AA31,"=34787475",X28:X31),0)</f>
        <v>4149</v>
      </c>
      <c r="AL33" s="100">
        <f>ROUND(SUMIF(AA28:AA31,"=34787475",Y28:Y31),0)</f>
        <v>2294</v>
      </c>
      <c r="AM33" s="100"/>
      <c r="AN33" s="100"/>
      <c r="AO33" s="100">
        <f>ROUND(BX33,0)</f>
        <v>0</v>
      </c>
      <c r="AP33" s="100">
        <f>ROUND(BY33,0)</f>
        <v>0</v>
      </c>
      <c r="AQ33" s="100">
        <f>ROUND(BZ33,0)</f>
        <v>0</v>
      </c>
      <c r="AR33" s="100">
        <f>ROUND(CA33,0)</f>
        <v>13357</v>
      </c>
      <c r="AS33" s="100">
        <f>ROUND(CB33,0)</f>
        <v>0</v>
      </c>
      <c r="AT33" s="100">
        <f>ROUND(CC33,0)</f>
        <v>13357</v>
      </c>
      <c r="AU33" s="100">
        <f>ROUND(CD33,0)</f>
        <v>0</v>
      </c>
      <c r="AV33" s="100">
        <f>ROUND(CE33,0)</f>
        <v>2088</v>
      </c>
      <c r="AW33" s="100">
        <f>ROUND(CF33,0)</f>
        <v>2088</v>
      </c>
      <c r="AX33" s="100">
        <f>ROUND(CG33,0)</f>
        <v>0</v>
      </c>
      <c r="AY33" s="100">
        <f>ROUND(CH33,0)</f>
        <v>2088</v>
      </c>
      <c r="AZ33" s="100">
        <f>ROUND(CI33,0)</f>
        <v>0</v>
      </c>
      <c r="BA33" s="100">
        <f>ROUND(CJ33,0)</f>
        <v>0</v>
      </c>
      <c r="BB33" s="100">
        <f>ROUND(CK33,0)</f>
        <v>0</v>
      </c>
      <c r="BC33" s="100">
        <f>ROUND(CL33,0)</f>
        <v>0</v>
      </c>
      <c r="BD33" s="100">
        <f>ROUND(CM33,0)</f>
        <v>0</v>
      </c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>
        <f>ROUND(SUMIF(AA28:AA31,"=34787475",FQ28:FQ31),0)</f>
        <v>0</v>
      </c>
      <c r="BY33" s="100">
        <f>ROUND(SUMIF(AA28:AA31,"=34787475",FR28:FR31),0)</f>
        <v>0</v>
      </c>
      <c r="BZ33" s="100">
        <f>ROUND(SUMIF(AA28:AA31,"=34787475",GL28:GL31),0)</f>
        <v>0</v>
      </c>
      <c r="CA33" s="100">
        <f>ROUND(SUMIF(AA28:AA31,"=34787475",GM28:GM31),0)</f>
        <v>13357</v>
      </c>
      <c r="CB33" s="100">
        <f>ROUND(SUMIF(AA28:AA31,"=34787475",GN28:GN31),0)</f>
        <v>0</v>
      </c>
      <c r="CC33" s="100">
        <f>ROUND(SUMIF(AA28:AA31,"=34787475",GO28:GO31),0)</f>
        <v>13357</v>
      </c>
      <c r="CD33" s="100">
        <f>ROUND(SUMIF(AA28:AA31,"=34787475",GP28:GP31),0)</f>
        <v>0</v>
      </c>
      <c r="CE33" s="100">
        <f>AC33-BX33</f>
        <v>2088</v>
      </c>
      <c r="CF33" s="100">
        <f>AC33-BY33</f>
        <v>2088</v>
      </c>
      <c r="CG33" s="100">
        <f>BX33-BZ33</f>
        <v>0</v>
      </c>
      <c r="CH33" s="100">
        <f>AC33-BX33-BY33+BZ33</f>
        <v>2088</v>
      </c>
      <c r="CI33" s="100">
        <f>BY33-BZ33</f>
        <v>0</v>
      </c>
      <c r="CJ33" s="100">
        <f>ROUND(SUMIF(AA28:AA31,"=34787475",GX28:GX31),0)</f>
        <v>0</v>
      </c>
      <c r="CK33" s="100">
        <f>ROUND(SUMIF(AA28:AA31,"=34787475",GY28:GY31),0)</f>
        <v>0</v>
      </c>
      <c r="CL33" s="100">
        <f>ROUND(SUMIF(AA28:AA31,"=34787475",GZ28:GZ31),0)</f>
        <v>0</v>
      </c>
      <c r="CM33" s="100">
        <f>ROUND(SUMIF(AA28:AA31,"=34787475",HD28:HD31),0)</f>
        <v>0</v>
      </c>
      <c r="CN33" s="100"/>
      <c r="CO33" s="100"/>
      <c r="CP33" s="100"/>
      <c r="CQ33" s="100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100"/>
      <c r="DG33" s="98"/>
      <c r="DH33" s="98"/>
      <c r="DI33" s="98"/>
      <c r="DJ33" s="98"/>
      <c r="DK33" s="98"/>
      <c r="DL33" s="98"/>
      <c r="DM33" s="98"/>
      <c r="DN33" s="98"/>
      <c r="DO33" s="98"/>
      <c r="DP33" s="98"/>
      <c r="DQ33" s="98"/>
      <c r="DR33" s="98"/>
      <c r="DS33" s="98"/>
      <c r="DT33" s="98"/>
      <c r="DU33" s="98"/>
      <c r="DV33" s="98"/>
      <c r="DW33" s="98"/>
      <c r="DX33" s="98"/>
      <c r="DY33" s="98"/>
      <c r="DZ33" s="98"/>
      <c r="EA33" s="98"/>
      <c r="EB33" s="98"/>
      <c r="EC33" s="98"/>
      <c r="ED33" s="98"/>
      <c r="EE33" s="98"/>
      <c r="EF33" s="98"/>
      <c r="EG33" s="98"/>
      <c r="EH33" s="98"/>
      <c r="EI33" s="98"/>
      <c r="EJ33" s="98"/>
      <c r="EK33" s="98"/>
      <c r="EL33" s="98"/>
      <c r="EM33" s="98"/>
      <c r="EN33" s="98"/>
      <c r="EO33" s="98"/>
      <c r="EP33" s="98"/>
      <c r="EQ33" s="98"/>
      <c r="ER33" s="98"/>
      <c r="ES33" s="98"/>
      <c r="ET33" s="98"/>
      <c r="EU33" s="98"/>
      <c r="EV33" s="98"/>
      <c r="EW33" s="98"/>
      <c r="EX33" s="98"/>
      <c r="EY33" s="98"/>
      <c r="EZ33" s="98"/>
      <c r="FA33" s="98"/>
      <c r="FB33" s="98"/>
      <c r="FC33" s="98"/>
      <c r="FD33" s="98"/>
      <c r="FE33" s="98"/>
      <c r="FF33" s="98"/>
      <c r="FG33" s="98"/>
      <c r="FH33" s="98"/>
      <c r="FI33" s="98"/>
      <c r="FJ33" s="98"/>
      <c r="FK33" s="98"/>
      <c r="FL33" s="98"/>
      <c r="FM33" s="98"/>
      <c r="FN33" s="98"/>
      <c r="FO33" s="98"/>
      <c r="FP33" s="98"/>
      <c r="FQ33" s="98"/>
      <c r="FR33" s="98"/>
      <c r="FS33" s="98"/>
      <c r="FT33" s="98"/>
      <c r="FU33" s="98"/>
      <c r="FV33" s="98"/>
      <c r="FW33" s="98"/>
      <c r="FX33" s="98"/>
      <c r="FY33" s="98"/>
      <c r="FZ33" s="98"/>
      <c r="GA33" s="98"/>
      <c r="GB33" s="98"/>
      <c r="GC33" s="98"/>
      <c r="GD33" s="98"/>
      <c r="GE33" s="98"/>
      <c r="GF33" s="98"/>
      <c r="GG33" s="98"/>
      <c r="GH33" s="98"/>
      <c r="GI33" s="98"/>
      <c r="GJ33" s="98"/>
      <c r="GK33" s="98"/>
      <c r="GL33" s="98"/>
      <c r="GM33" s="98"/>
      <c r="GN33" s="98"/>
      <c r="GO33" s="98"/>
      <c r="GP33" s="98"/>
      <c r="GQ33" s="98"/>
      <c r="GR33" s="98"/>
      <c r="GS33" s="98"/>
      <c r="GT33" s="98"/>
      <c r="GU33" s="98"/>
      <c r="GV33" s="98"/>
      <c r="GW33" s="98"/>
      <c r="GX33" s="98">
        <v>0</v>
      </c>
    </row>
    <row r="35" spans="1:206" x14ac:dyDescent="0.2">
      <c r="A35" s="99">
        <v>50</v>
      </c>
      <c r="B35" s="99">
        <v>0</v>
      </c>
      <c r="C35" s="99">
        <v>0</v>
      </c>
      <c r="D35" s="99">
        <v>1</v>
      </c>
      <c r="E35" s="99">
        <v>201</v>
      </c>
      <c r="F35" s="99">
        <f>ROUND(Source!O33,O35)</f>
        <v>6914</v>
      </c>
      <c r="G35" s="99" t="s">
        <v>181</v>
      </c>
      <c r="H35" s="99" t="s">
        <v>13</v>
      </c>
      <c r="I35" s="99"/>
      <c r="J35" s="99"/>
      <c r="K35" s="99">
        <v>201</v>
      </c>
      <c r="L35" s="99">
        <v>1</v>
      </c>
      <c r="M35" s="99">
        <v>3</v>
      </c>
      <c r="N35" s="99" t="s">
        <v>74</v>
      </c>
      <c r="O35" s="99">
        <v>0</v>
      </c>
      <c r="P35" s="99"/>
      <c r="Q35" s="99"/>
      <c r="R35" s="99"/>
      <c r="S35" s="99"/>
      <c r="T35" s="99"/>
      <c r="U35" s="99"/>
      <c r="V35" s="99"/>
      <c r="W35" s="99">
        <v>6914</v>
      </c>
      <c r="X35" s="99">
        <v>1</v>
      </c>
      <c r="Y35" s="99">
        <v>6914</v>
      </c>
      <c r="Z35" s="99"/>
      <c r="AA35" s="99"/>
      <c r="AB35" s="99"/>
    </row>
    <row r="36" spans="1:206" x14ac:dyDescent="0.2">
      <c r="A36" s="99">
        <v>50</v>
      </c>
      <c r="B36" s="99">
        <v>0</v>
      </c>
      <c r="C36" s="99">
        <v>0</v>
      </c>
      <c r="D36" s="99">
        <v>1</v>
      </c>
      <c r="E36" s="99">
        <v>202</v>
      </c>
      <c r="F36" s="99">
        <f>ROUND(Source!P33,O36)</f>
        <v>2088</v>
      </c>
      <c r="G36" s="99" t="s">
        <v>180</v>
      </c>
      <c r="H36" s="99" t="s">
        <v>179</v>
      </c>
      <c r="I36" s="99"/>
      <c r="J36" s="99"/>
      <c r="K36" s="99">
        <v>202</v>
      </c>
      <c r="L36" s="99">
        <v>2</v>
      </c>
      <c r="M36" s="99">
        <v>3</v>
      </c>
      <c r="N36" s="99" t="s">
        <v>74</v>
      </c>
      <c r="O36" s="99">
        <v>0</v>
      </c>
      <c r="P36" s="99"/>
      <c r="Q36" s="99"/>
      <c r="R36" s="99"/>
      <c r="S36" s="99"/>
      <c r="T36" s="99"/>
      <c r="U36" s="99"/>
      <c r="V36" s="99"/>
      <c r="W36" s="99">
        <v>2088</v>
      </c>
      <c r="X36" s="99">
        <v>1</v>
      </c>
      <c r="Y36" s="99">
        <v>2088</v>
      </c>
      <c r="Z36" s="99"/>
      <c r="AA36" s="99"/>
      <c r="AB36" s="99"/>
    </row>
    <row r="37" spans="1:206" x14ac:dyDescent="0.2">
      <c r="A37" s="99">
        <v>50</v>
      </c>
      <c r="B37" s="99">
        <v>0</v>
      </c>
      <c r="C37" s="99">
        <v>0</v>
      </c>
      <c r="D37" s="99">
        <v>1</v>
      </c>
      <c r="E37" s="99">
        <v>222</v>
      </c>
      <c r="F37" s="99">
        <f>ROUND(Source!AO33,O37)</f>
        <v>0</v>
      </c>
      <c r="G37" s="99" t="s">
        <v>178</v>
      </c>
      <c r="H37" s="99" t="s">
        <v>177</v>
      </c>
      <c r="I37" s="99"/>
      <c r="J37" s="99"/>
      <c r="K37" s="99">
        <v>222</v>
      </c>
      <c r="L37" s="99">
        <v>3</v>
      </c>
      <c r="M37" s="99">
        <v>3</v>
      </c>
      <c r="N37" s="99" t="s">
        <v>74</v>
      </c>
      <c r="O37" s="99">
        <v>0</v>
      </c>
      <c r="P37" s="99"/>
      <c r="Q37" s="99"/>
      <c r="R37" s="99"/>
      <c r="S37" s="99"/>
      <c r="T37" s="99"/>
      <c r="U37" s="99"/>
      <c r="V37" s="99"/>
      <c r="W37" s="99">
        <v>0</v>
      </c>
      <c r="X37" s="99">
        <v>1</v>
      </c>
      <c r="Y37" s="99">
        <v>0</v>
      </c>
      <c r="Z37" s="99"/>
      <c r="AA37" s="99"/>
      <c r="AB37" s="99"/>
    </row>
    <row r="38" spans="1:206" x14ac:dyDescent="0.2">
      <c r="A38" s="99">
        <v>50</v>
      </c>
      <c r="B38" s="99">
        <v>0</v>
      </c>
      <c r="C38" s="99">
        <v>0</v>
      </c>
      <c r="D38" s="99">
        <v>1</v>
      </c>
      <c r="E38" s="99">
        <v>225</v>
      </c>
      <c r="F38" s="99">
        <f>ROUND(Source!AV33,O38)</f>
        <v>2088</v>
      </c>
      <c r="G38" s="99" t="s">
        <v>176</v>
      </c>
      <c r="H38" s="99" t="s">
        <v>175</v>
      </c>
      <c r="I38" s="99"/>
      <c r="J38" s="99"/>
      <c r="K38" s="99">
        <v>225</v>
      </c>
      <c r="L38" s="99">
        <v>4</v>
      </c>
      <c r="M38" s="99">
        <v>3</v>
      </c>
      <c r="N38" s="99" t="s">
        <v>74</v>
      </c>
      <c r="O38" s="99">
        <v>0</v>
      </c>
      <c r="P38" s="99"/>
      <c r="Q38" s="99"/>
      <c r="R38" s="99"/>
      <c r="S38" s="99"/>
      <c r="T38" s="99"/>
      <c r="U38" s="99"/>
      <c r="V38" s="99"/>
      <c r="W38" s="99">
        <v>2088</v>
      </c>
      <c r="X38" s="99">
        <v>1</v>
      </c>
      <c r="Y38" s="99">
        <v>2088</v>
      </c>
      <c r="Z38" s="99"/>
      <c r="AA38" s="99"/>
      <c r="AB38" s="99"/>
    </row>
    <row r="39" spans="1:206" x14ac:dyDescent="0.2">
      <c r="A39" s="99">
        <v>50</v>
      </c>
      <c r="B39" s="99">
        <v>0</v>
      </c>
      <c r="C39" s="99">
        <v>0</v>
      </c>
      <c r="D39" s="99">
        <v>1</v>
      </c>
      <c r="E39" s="99">
        <v>226</v>
      </c>
      <c r="F39" s="99">
        <f>ROUND(Source!AW33,O39)</f>
        <v>2088</v>
      </c>
      <c r="G39" s="99" t="s">
        <v>174</v>
      </c>
      <c r="H39" s="99" t="s">
        <v>173</v>
      </c>
      <c r="I39" s="99"/>
      <c r="J39" s="99"/>
      <c r="K39" s="99">
        <v>226</v>
      </c>
      <c r="L39" s="99">
        <v>5</v>
      </c>
      <c r="M39" s="99">
        <v>3</v>
      </c>
      <c r="N39" s="99" t="s">
        <v>74</v>
      </c>
      <c r="O39" s="99">
        <v>0</v>
      </c>
      <c r="P39" s="99"/>
      <c r="Q39" s="99"/>
      <c r="R39" s="99"/>
      <c r="S39" s="99"/>
      <c r="T39" s="99"/>
      <c r="U39" s="99"/>
      <c r="V39" s="99"/>
      <c r="W39" s="99">
        <v>2088</v>
      </c>
      <c r="X39" s="99">
        <v>1</v>
      </c>
      <c r="Y39" s="99">
        <v>2088</v>
      </c>
      <c r="Z39" s="99"/>
      <c r="AA39" s="99"/>
      <c r="AB39" s="99"/>
    </row>
    <row r="40" spans="1:206" x14ac:dyDescent="0.2">
      <c r="A40" s="99">
        <v>50</v>
      </c>
      <c r="B40" s="99">
        <v>0</v>
      </c>
      <c r="C40" s="99">
        <v>0</v>
      </c>
      <c r="D40" s="99">
        <v>1</v>
      </c>
      <c r="E40" s="99">
        <v>227</v>
      </c>
      <c r="F40" s="99">
        <f>ROUND(Source!AX33,O40)</f>
        <v>0</v>
      </c>
      <c r="G40" s="99" t="s">
        <v>172</v>
      </c>
      <c r="H40" s="99" t="s">
        <v>171</v>
      </c>
      <c r="I40" s="99"/>
      <c r="J40" s="99"/>
      <c r="K40" s="99">
        <v>227</v>
      </c>
      <c r="L40" s="99">
        <v>6</v>
      </c>
      <c r="M40" s="99">
        <v>3</v>
      </c>
      <c r="N40" s="99" t="s">
        <v>74</v>
      </c>
      <c r="O40" s="99">
        <v>0</v>
      </c>
      <c r="P40" s="99"/>
      <c r="Q40" s="99"/>
      <c r="R40" s="99"/>
      <c r="S40" s="99"/>
      <c r="T40" s="99"/>
      <c r="U40" s="99"/>
      <c r="V40" s="99"/>
      <c r="W40" s="99">
        <v>0</v>
      </c>
      <c r="X40" s="99">
        <v>1</v>
      </c>
      <c r="Y40" s="99">
        <v>0</v>
      </c>
      <c r="Z40" s="99"/>
      <c r="AA40" s="99"/>
      <c r="AB40" s="99"/>
    </row>
    <row r="41" spans="1:206" x14ac:dyDescent="0.2">
      <c r="A41" s="99">
        <v>50</v>
      </c>
      <c r="B41" s="99">
        <v>0</v>
      </c>
      <c r="C41" s="99">
        <v>0</v>
      </c>
      <c r="D41" s="99">
        <v>1</v>
      </c>
      <c r="E41" s="99">
        <v>228</v>
      </c>
      <c r="F41" s="99">
        <f>ROUND(Source!AY33,O41)</f>
        <v>2088</v>
      </c>
      <c r="G41" s="99" t="s">
        <v>170</v>
      </c>
      <c r="H41" s="99" t="s">
        <v>169</v>
      </c>
      <c r="I41" s="99"/>
      <c r="J41" s="99"/>
      <c r="K41" s="99">
        <v>228</v>
      </c>
      <c r="L41" s="99">
        <v>7</v>
      </c>
      <c r="M41" s="99">
        <v>3</v>
      </c>
      <c r="N41" s="99" t="s">
        <v>74</v>
      </c>
      <c r="O41" s="99">
        <v>0</v>
      </c>
      <c r="P41" s="99"/>
      <c r="Q41" s="99"/>
      <c r="R41" s="99"/>
      <c r="S41" s="99"/>
      <c r="T41" s="99"/>
      <c r="U41" s="99"/>
      <c r="V41" s="99"/>
      <c r="W41" s="99">
        <v>2088</v>
      </c>
      <c r="X41" s="99">
        <v>1</v>
      </c>
      <c r="Y41" s="99">
        <v>2088</v>
      </c>
      <c r="Z41" s="99"/>
      <c r="AA41" s="99"/>
      <c r="AB41" s="99"/>
    </row>
    <row r="42" spans="1:206" x14ac:dyDescent="0.2">
      <c r="A42" s="99">
        <v>50</v>
      </c>
      <c r="B42" s="99">
        <v>0</v>
      </c>
      <c r="C42" s="99">
        <v>0</v>
      </c>
      <c r="D42" s="99">
        <v>1</v>
      </c>
      <c r="E42" s="99">
        <v>216</v>
      </c>
      <c r="F42" s="99">
        <f>ROUND(Source!AP33,O42)</f>
        <v>0</v>
      </c>
      <c r="G42" s="99" t="s">
        <v>168</v>
      </c>
      <c r="H42" s="99" t="s">
        <v>167</v>
      </c>
      <c r="I42" s="99"/>
      <c r="J42" s="99"/>
      <c r="K42" s="99">
        <v>216</v>
      </c>
      <c r="L42" s="99">
        <v>8</v>
      </c>
      <c r="M42" s="99">
        <v>3</v>
      </c>
      <c r="N42" s="99" t="s">
        <v>74</v>
      </c>
      <c r="O42" s="99">
        <v>0</v>
      </c>
      <c r="P42" s="99"/>
      <c r="Q42" s="99"/>
      <c r="R42" s="99"/>
      <c r="S42" s="99"/>
      <c r="T42" s="99"/>
      <c r="U42" s="99"/>
      <c r="V42" s="99"/>
      <c r="W42" s="99">
        <v>0</v>
      </c>
      <c r="X42" s="99">
        <v>1</v>
      </c>
      <c r="Y42" s="99">
        <v>0</v>
      </c>
      <c r="Z42" s="99"/>
      <c r="AA42" s="99"/>
      <c r="AB42" s="99"/>
    </row>
    <row r="43" spans="1:206" x14ac:dyDescent="0.2">
      <c r="A43" s="99">
        <v>50</v>
      </c>
      <c r="B43" s="99">
        <v>0</v>
      </c>
      <c r="C43" s="99">
        <v>0</v>
      </c>
      <c r="D43" s="99">
        <v>1</v>
      </c>
      <c r="E43" s="99">
        <v>223</v>
      </c>
      <c r="F43" s="99">
        <f>ROUND(Source!AQ33,O43)</f>
        <v>0</v>
      </c>
      <c r="G43" s="99" t="s">
        <v>166</v>
      </c>
      <c r="H43" s="99" t="s">
        <v>165</v>
      </c>
      <c r="I43" s="99"/>
      <c r="J43" s="99"/>
      <c r="K43" s="99">
        <v>223</v>
      </c>
      <c r="L43" s="99">
        <v>9</v>
      </c>
      <c r="M43" s="99">
        <v>3</v>
      </c>
      <c r="N43" s="99" t="s">
        <v>74</v>
      </c>
      <c r="O43" s="99">
        <v>0</v>
      </c>
      <c r="P43" s="99"/>
      <c r="Q43" s="99"/>
      <c r="R43" s="99"/>
      <c r="S43" s="99"/>
      <c r="T43" s="99"/>
      <c r="U43" s="99"/>
      <c r="V43" s="99"/>
      <c r="W43" s="99">
        <v>0</v>
      </c>
      <c r="X43" s="99">
        <v>1</v>
      </c>
      <c r="Y43" s="99">
        <v>0</v>
      </c>
      <c r="Z43" s="99"/>
      <c r="AA43" s="99"/>
      <c r="AB43" s="99"/>
    </row>
    <row r="44" spans="1:206" x14ac:dyDescent="0.2">
      <c r="A44" s="99">
        <v>50</v>
      </c>
      <c r="B44" s="99">
        <v>0</v>
      </c>
      <c r="C44" s="99">
        <v>0</v>
      </c>
      <c r="D44" s="99">
        <v>1</v>
      </c>
      <c r="E44" s="99">
        <v>229</v>
      </c>
      <c r="F44" s="99">
        <f>ROUND(Source!AZ33,O44)</f>
        <v>0</v>
      </c>
      <c r="G44" s="99" t="s">
        <v>164</v>
      </c>
      <c r="H44" s="99" t="s">
        <v>163</v>
      </c>
      <c r="I44" s="99"/>
      <c r="J44" s="99"/>
      <c r="K44" s="99">
        <v>229</v>
      </c>
      <c r="L44" s="99">
        <v>10</v>
      </c>
      <c r="M44" s="99">
        <v>3</v>
      </c>
      <c r="N44" s="99" t="s">
        <v>74</v>
      </c>
      <c r="O44" s="99">
        <v>0</v>
      </c>
      <c r="P44" s="99"/>
      <c r="Q44" s="99"/>
      <c r="R44" s="99"/>
      <c r="S44" s="99"/>
      <c r="T44" s="99"/>
      <c r="U44" s="99"/>
      <c r="V44" s="99"/>
      <c r="W44" s="99">
        <v>0</v>
      </c>
      <c r="X44" s="99">
        <v>1</v>
      </c>
      <c r="Y44" s="99">
        <v>0</v>
      </c>
      <c r="Z44" s="99"/>
      <c r="AA44" s="99"/>
      <c r="AB44" s="99"/>
    </row>
    <row r="45" spans="1:206" x14ac:dyDescent="0.2">
      <c r="A45" s="99">
        <v>50</v>
      </c>
      <c r="B45" s="99">
        <v>0</v>
      </c>
      <c r="C45" s="99">
        <v>0</v>
      </c>
      <c r="D45" s="99">
        <v>1</v>
      </c>
      <c r="E45" s="99">
        <v>203</v>
      </c>
      <c r="F45" s="99">
        <f>ROUND(Source!Q33,O45)</f>
        <v>651</v>
      </c>
      <c r="G45" s="99" t="s">
        <v>162</v>
      </c>
      <c r="H45" s="99" t="s">
        <v>44</v>
      </c>
      <c r="I45" s="99"/>
      <c r="J45" s="99"/>
      <c r="K45" s="99">
        <v>203</v>
      </c>
      <c r="L45" s="99">
        <v>11</v>
      </c>
      <c r="M45" s="99">
        <v>3</v>
      </c>
      <c r="N45" s="99" t="s">
        <v>74</v>
      </c>
      <c r="O45" s="99">
        <v>0</v>
      </c>
      <c r="P45" s="99"/>
      <c r="Q45" s="99"/>
      <c r="R45" s="99"/>
      <c r="S45" s="99"/>
      <c r="T45" s="99"/>
      <c r="U45" s="99"/>
      <c r="V45" s="99"/>
      <c r="W45" s="99">
        <v>651</v>
      </c>
      <c r="X45" s="99">
        <v>1</v>
      </c>
      <c r="Y45" s="99">
        <v>651</v>
      </c>
      <c r="Z45" s="99"/>
      <c r="AA45" s="99"/>
      <c r="AB45" s="99"/>
    </row>
    <row r="46" spans="1:206" x14ac:dyDescent="0.2">
      <c r="A46" s="99">
        <v>50</v>
      </c>
      <c r="B46" s="99">
        <v>0</v>
      </c>
      <c r="C46" s="99">
        <v>0</v>
      </c>
      <c r="D46" s="99">
        <v>1</v>
      </c>
      <c r="E46" s="99">
        <v>231</v>
      </c>
      <c r="F46" s="99">
        <f>ROUND(Source!BB33,O46)</f>
        <v>0</v>
      </c>
      <c r="G46" s="99" t="s">
        <v>161</v>
      </c>
      <c r="H46" s="99" t="s">
        <v>160</v>
      </c>
      <c r="I46" s="99"/>
      <c r="J46" s="99"/>
      <c r="K46" s="99">
        <v>231</v>
      </c>
      <c r="L46" s="99">
        <v>12</v>
      </c>
      <c r="M46" s="99">
        <v>3</v>
      </c>
      <c r="N46" s="99" t="s">
        <v>74</v>
      </c>
      <c r="O46" s="99">
        <v>0</v>
      </c>
      <c r="P46" s="99"/>
      <c r="Q46" s="99"/>
      <c r="R46" s="99"/>
      <c r="S46" s="99"/>
      <c r="T46" s="99"/>
      <c r="U46" s="99"/>
      <c r="V46" s="99"/>
      <c r="W46" s="99">
        <v>0</v>
      </c>
      <c r="X46" s="99">
        <v>1</v>
      </c>
      <c r="Y46" s="99">
        <v>0</v>
      </c>
      <c r="Z46" s="99"/>
      <c r="AA46" s="99"/>
      <c r="AB46" s="99"/>
    </row>
    <row r="47" spans="1:206" x14ac:dyDescent="0.2">
      <c r="A47" s="99">
        <v>50</v>
      </c>
      <c r="B47" s="99">
        <v>0</v>
      </c>
      <c r="C47" s="99">
        <v>0</v>
      </c>
      <c r="D47" s="99">
        <v>1</v>
      </c>
      <c r="E47" s="99">
        <v>204</v>
      </c>
      <c r="F47" s="99">
        <f>ROUND(Source!R33,O47)</f>
        <v>211</v>
      </c>
      <c r="G47" s="99" t="s">
        <v>159</v>
      </c>
      <c r="H47" s="99" t="s">
        <v>158</v>
      </c>
      <c r="I47" s="99"/>
      <c r="J47" s="99"/>
      <c r="K47" s="99">
        <v>204</v>
      </c>
      <c r="L47" s="99">
        <v>13</v>
      </c>
      <c r="M47" s="99">
        <v>3</v>
      </c>
      <c r="N47" s="99" t="s">
        <v>74</v>
      </c>
      <c r="O47" s="99">
        <v>0</v>
      </c>
      <c r="P47" s="99"/>
      <c r="Q47" s="99"/>
      <c r="R47" s="99"/>
      <c r="S47" s="99"/>
      <c r="T47" s="99"/>
      <c r="U47" s="99"/>
      <c r="V47" s="99"/>
      <c r="W47" s="99">
        <v>211</v>
      </c>
      <c r="X47" s="99">
        <v>1</v>
      </c>
      <c r="Y47" s="99">
        <v>211</v>
      </c>
      <c r="Z47" s="99"/>
      <c r="AA47" s="99"/>
      <c r="AB47" s="99"/>
    </row>
    <row r="48" spans="1:206" x14ac:dyDescent="0.2">
      <c r="A48" s="99">
        <v>50</v>
      </c>
      <c r="B48" s="99">
        <v>0</v>
      </c>
      <c r="C48" s="99">
        <v>0</v>
      </c>
      <c r="D48" s="99">
        <v>1</v>
      </c>
      <c r="E48" s="99">
        <v>205</v>
      </c>
      <c r="F48" s="99">
        <f>ROUND(Source!S33,O48)</f>
        <v>4175</v>
      </c>
      <c r="G48" s="99" t="s">
        <v>157</v>
      </c>
      <c r="H48" s="99" t="s">
        <v>156</v>
      </c>
      <c r="I48" s="99"/>
      <c r="J48" s="99"/>
      <c r="K48" s="99">
        <v>205</v>
      </c>
      <c r="L48" s="99">
        <v>14</v>
      </c>
      <c r="M48" s="99">
        <v>3</v>
      </c>
      <c r="N48" s="99" t="s">
        <v>74</v>
      </c>
      <c r="O48" s="99">
        <v>0</v>
      </c>
      <c r="P48" s="99"/>
      <c r="Q48" s="99"/>
      <c r="R48" s="99"/>
      <c r="S48" s="99"/>
      <c r="T48" s="99"/>
      <c r="U48" s="99"/>
      <c r="V48" s="99"/>
      <c r="W48" s="99">
        <v>4175</v>
      </c>
      <c r="X48" s="99">
        <v>1</v>
      </c>
      <c r="Y48" s="99">
        <v>4175</v>
      </c>
      <c r="Z48" s="99"/>
      <c r="AA48" s="99"/>
      <c r="AB48" s="99"/>
    </row>
    <row r="49" spans="1:88" x14ac:dyDescent="0.2">
      <c r="A49" s="99">
        <v>50</v>
      </c>
      <c r="B49" s="99">
        <v>0</v>
      </c>
      <c r="C49" s="99">
        <v>0</v>
      </c>
      <c r="D49" s="99">
        <v>1</v>
      </c>
      <c r="E49" s="99">
        <v>232</v>
      </c>
      <c r="F49" s="99">
        <f>ROUND(Source!BC33,O49)</f>
        <v>0</v>
      </c>
      <c r="G49" s="99" t="s">
        <v>155</v>
      </c>
      <c r="H49" s="99" t="s">
        <v>154</v>
      </c>
      <c r="I49" s="99"/>
      <c r="J49" s="99"/>
      <c r="K49" s="99">
        <v>232</v>
      </c>
      <c r="L49" s="99">
        <v>15</v>
      </c>
      <c r="M49" s="99">
        <v>3</v>
      </c>
      <c r="N49" s="99" t="s">
        <v>74</v>
      </c>
      <c r="O49" s="99">
        <v>0</v>
      </c>
      <c r="P49" s="99"/>
      <c r="Q49" s="99"/>
      <c r="R49" s="99"/>
      <c r="S49" s="99"/>
      <c r="T49" s="99"/>
      <c r="U49" s="99"/>
      <c r="V49" s="99"/>
      <c r="W49" s="99">
        <v>0</v>
      </c>
      <c r="X49" s="99">
        <v>1</v>
      </c>
      <c r="Y49" s="99">
        <v>0</v>
      </c>
      <c r="Z49" s="99"/>
      <c r="AA49" s="99"/>
      <c r="AB49" s="99"/>
    </row>
    <row r="50" spans="1:88" x14ac:dyDescent="0.2">
      <c r="A50" s="99">
        <v>50</v>
      </c>
      <c r="B50" s="99">
        <v>0</v>
      </c>
      <c r="C50" s="99">
        <v>0</v>
      </c>
      <c r="D50" s="99">
        <v>1</v>
      </c>
      <c r="E50" s="99">
        <v>214</v>
      </c>
      <c r="F50" s="99">
        <f>ROUND(Source!AS33,O50)</f>
        <v>0</v>
      </c>
      <c r="G50" s="99" t="s">
        <v>153</v>
      </c>
      <c r="H50" s="99" t="s">
        <v>152</v>
      </c>
      <c r="I50" s="99"/>
      <c r="J50" s="99"/>
      <c r="K50" s="99">
        <v>214</v>
      </c>
      <c r="L50" s="99">
        <v>16</v>
      </c>
      <c r="M50" s="99">
        <v>3</v>
      </c>
      <c r="N50" s="99" t="s">
        <v>74</v>
      </c>
      <c r="O50" s="99">
        <v>0</v>
      </c>
      <c r="P50" s="99"/>
      <c r="Q50" s="99"/>
      <c r="R50" s="99"/>
      <c r="S50" s="99"/>
      <c r="T50" s="99"/>
      <c r="U50" s="99"/>
      <c r="V50" s="99"/>
      <c r="W50" s="99">
        <v>0</v>
      </c>
      <c r="X50" s="99">
        <v>1</v>
      </c>
      <c r="Y50" s="99">
        <v>0</v>
      </c>
      <c r="Z50" s="99"/>
      <c r="AA50" s="99"/>
      <c r="AB50" s="99"/>
    </row>
    <row r="51" spans="1:88" x14ac:dyDescent="0.2">
      <c r="A51" s="99">
        <v>50</v>
      </c>
      <c r="B51" s="99">
        <v>0</v>
      </c>
      <c r="C51" s="99">
        <v>0</v>
      </c>
      <c r="D51" s="99">
        <v>1</v>
      </c>
      <c r="E51" s="99">
        <v>215</v>
      </c>
      <c r="F51" s="99">
        <f>ROUND(Source!AT33,O51)</f>
        <v>13357</v>
      </c>
      <c r="G51" s="99" t="s">
        <v>151</v>
      </c>
      <c r="H51" s="99" t="s">
        <v>150</v>
      </c>
      <c r="I51" s="99"/>
      <c r="J51" s="99"/>
      <c r="K51" s="99">
        <v>215</v>
      </c>
      <c r="L51" s="99">
        <v>17</v>
      </c>
      <c r="M51" s="99">
        <v>3</v>
      </c>
      <c r="N51" s="99" t="s">
        <v>74</v>
      </c>
      <c r="O51" s="99">
        <v>0</v>
      </c>
      <c r="P51" s="99"/>
      <c r="Q51" s="99"/>
      <c r="R51" s="99"/>
      <c r="S51" s="99"/>
      <c r="T51" s="99"/>
      <c r="U51" s="99"/>
      <c r="V51" s="99"/>
      <c r="W51" s="99">
        <v>13357</v>
      </c>
      <c r="X51" s="99">
        <v>1</v>
      </c>
      <c r="Y51" s="99">
        <v>13357</v>
      </c>
      <c r="Z51" s="99"/>
      <c r="AA51" s="99"/>
      <c r="AB51" s="99"/>
    </row>
    <row r="52" spans="1:88" x14ac:dyDescent="0.2">
      <c r="A52" s="99">
        <v>50</v>
      </c>
      <c r="B52" s="99">
        <v>0</v>
      </c>
      <c r="C52" s="99">
        <v>0</v>
      </c>
      <c r="D52" s="99">
        <v>1</v>
      </c>
      <c r="E52" s="99">
        <v>217</v>
      </c>
      <c r="F52" s="99">
        <f>ROUND(Source!AU33,O52)</f>
        <v>0</v>
      </c>
      <c r="G52" s="99" t="s">
        <v>149</v>
      </c>
      <c r="H52" s="99" t="s">
        <v>148</v>
      </c>
      <c r="I52" s="99"/>
      <c r="J52" s="99"/>
      <c r="K52" s="99">
        <v>217</v>
      </c>
      <c r="L52" s="99">
        <v>18</v>
      </c>
      <c r="M52" s="99">
        <v>3</v>
      </c>
      <c r="N52" s="99" t="s">
        <v>74</v>
      </c>
      <c r="O52" s="99">
        <v>0</v>
      </c>
      <c r="P52" s="99"/>
      <c r="Q52" s="99"/>
      <c r="R52" s="99"/>
      <c r="S52" s="99"/>
      <c r="T52" s="99"/>
      <c r="U52" s="99"/>
      <c r="V52" s="99"/>
      <c r="W52" s="99">
        <v>0</v>
      </c>
      <c r="X52" s="99">
        <v>1</v>
      </c>
      <c r="Y52" s="99">
        <v>0</v>
      </c>
      <c r="Z52" s="99"/>
      <c r="AA52" s="99"/>
      <c r="AB52" s="99"/>
    </row>
    <row r="53" spans="1:88" x14ac:dyDescent="0.2">
      <c r="A53" s="99">
        <v>50</v>
      </c>
      <c r="B53" s="99">
        <v>0</v>
      </c>
      <c r="C53" s="99">
        <v>0</v>
      </c>
      <c r="D53" s="99">
        <v>1</v>
      </c>
      <c r="E53" s="99">
        <v>230</v>
      </c>
      <c r="F53" s="99">
        <f>ROUND(Source!BA33,O53)</f>
        <v>0</v>
      </c>
      <c r="G53" s="99" t="s">
        <v>147</v>
      </c>
      <c r="H53" s="99" t="s">
        <v>146</v>
      </c>
      <c r="I53" s="99"/>
      <c r="J53" s="99"/>
      <c r="K53" s="99">
        <v>230</v>
      </c>
      <c r="L53" s="99">
        <v>19</v>
      </c>
      <c r="M53" s="99">
        <v>3</v>
      </c>
      <c r="N53" s="99" t="s">
        <v>74</v>
      </c>
      <c r="O53" s="99">
        <v>0</v>
      </c>
      <c r="P53" s="99"/>
      <c r="Q53" s="99"/>
      <c r="R53" s="99"/>
      <c r="S53" s="99"/>
      <c r="T53" s="99"/>
      <c r="U53" s="99"/>
      <c r="V53" s="99"/>
      <c r="W53" s="99">
        <v>0</v>
      </c>
      <c r="X53" s="99">
        <v>1</v>
      </c>
      <c r="Y53" s="99">
        <v>0</v>
      </c>
      <c r="Z53" s="99"/>
      <c r="AA53" s="99"/>
      <c r="AB53" s="99"/>
    </row>
    <row r="54" spans="1:88" x14ac:dyDescent="0.2">
      <c r="A54" s="99">
        <v>50</v>
      </c>
      <c r="B54" s="99">
        <v>0</v>
      </c>
      <c r="C54" s="99">
        <v>0</v>
      </c>
      <c r="D54" s="99">
        <v>1</v>
      </c>
      <c r="E54" s="99">
        <v>206</v>
      </c>
      <c r="F54" s="99">
        <f>ROUND(Source!T33,O54)</f>
        <v>0</v>
      </c>
      <c r="G54" s="99" t="s">
        <v>145</v>
      </c>
      <c r="H54" s="99" t="s">
        <v>60</v>
      </c>
      <c r="I54" s="99"/>
      <c r="J54" s="99"/>
      <c r="K54" s="99">
        <v>206</v>
      </c>
      <c r="L54" s="99">
        <v>20</v>
      </c>
      <c r="M54" s="99">
        <v>3</v>
      </c>
      <c r="N54" s="99" t="s">
        <v>74</v>
      </c>
      <c r="O54" s="99">
        <v>0</v>
      </c>
      <c r="P54" s="99"/>
      <c r="Q54" s="99"/>
      <c r="R54" s="99"/>
      <c r="S54" s="99"/>
      <c r="T54" s="99"/>
      <c r="U54" s="99"/>
      <c r="V54" s="99"/>
      <c r="W54" s="99">
        <v>0</v>
      </c>
      <c r="X54" s="99">
        <v>1</v>
      </c>
      <c r="Y54" s="99">
        <v>0</v>
      </c>
      <c r="Z54" s="99"/>
      <c r="AA54" s="99"/>
      <c r="AB54" s="99"/>
    </row>
    <row r="55" spans="1:88" x14ac:dyDescent="0.2">
      <c r="A55" s="99">
        <v>50</v>
      </c>
      <c r="B55" s="99">
        <v>0</v>
      </c>
      <c r="C55" s="99">
        <v>0</v>
      </c>
      <c r="D55" s="99">
        <v>1</v>
      </c>
      <c r="E55" s="99">
        <v>207</v>
      </c>
      <c r="F55" s="99">
        <f>Source!U33</f>
        <v>16.013500000000001</v>
      </c>
      <c r="G55" s="99" t="s">
        <v>144</v>
      </c>
      <c r="H55" s="99" t="s">
        <v>143</v>
      </c>
      <c r="I55" s="99"/>
      <c r="J55" s="99"/>
      <c r="K55" s="99">
        <v>207</v>
      </c>
      <c r="L55" s="99">
        <v>21</v>
      </c>
      <c r="M55" s="99">
        <v>3</v>
      </c>
      <c r="N55" s="99" t="s">
        <v>74</v>
      </c>
      <c r="O55" s="99">
        <v>-1</v>
      </c>
      <c r="P55" s="99"/>
      <c r="Q55" s="99"/>
      <c r="R55" s="99"/>
      <c r="S55" s="99"/>
      <c r="T55" s="99"/>
      <c r="U55" s="99"/>
      <c r="V55" s="99"/>
      <c r="W55" s="99">
        <v>16.013500000000001</v>
      </c>
      <c r="X55" s="99">
        <v>1</v>
      </c>
      <c r="Y55" s="99">
        <v>16.013500000000001</v>
      </c>
      <c r="Z55" s="99"/>
      <c r="AA55" s="99"/>
      <c r="AB55" s="99"/>
    </row>
    <row r="56" spans="1:88" x14ac:dyDescent="0.2">
      <c r="A56" s="99">
        <v>50</v>
      </c>
      <c r="B56" s="99">
        <v>0</v>
      </c>
      <c r="C56" s="99">
        <v>0</v>
      </c>
      <c r="D56" s="99">
        <v>1</v>
      </c>
      <c r="E56" s="99">
        <v>208</v>
      </c>
      <c r="F56" s="99">
        <f>Source!V33</f>
        <v>0.77059999999999995</v>
      </c>
      <c r="G56" s="99" t="s">
        <v>142</v>
      </c>
      <c r="H56" s="99" t="s">
        <v>141</v>
      </c>
      <c r="I56" s="99"/>
      <c r="J56" s="99"/>
      <c r="K56" s="99">
        <v>208</v>
      </c>
      <c r="L56" s="99">
        <v>22</v>
      </c>
      <c r="M56" s="99">
        <v>3</v>
      </c>
      <c r="N56" s="99" t="s">
        <v>74</v>
      </c>
      <c r="O56" s="99">
        <v>-1</v>
      </c>
      <c r="P56" s="99"/>
      <c r="Q56" s="99"/>
      <c r="R56" s="99"/>
      <c r="S56" s="99"/>
      <c r="T56" s="99"/>
      <c r="U56" s="99"/>
      <c r="V56" s="99"/>
      <c r="W56" s="99">
        <v>0.77059999999999995</v>
      </c>
      <c r="X56" s="99">
        <v>1</v>
      </c>
      <c r="Y56" s="99">
        <v>0.77059999999999995</v>
      </c>
      <c r="Z56" s="99"/>
      <c r="AA56" s="99"/>
      <c r="AB56" s="99"/>
    </row>
    <row r="57" spans="1:88" x14ac:dyDescent="0.2">
      <c r="A57" s="99">
        <v>50</v>
      </c>
      <c r="B57" s="99">
        <v>0</v>
      </c>
      <c r="C57" s="99">
        <v>0</v>
      </c>
      <c r="D57" s="99">
        <v>1</v>
      </c>
      <c r="E57" s="99">
        <v>209</v>
      </c>
      <c r="F57" s="99">
        <f>ROUND(Source!W33,O57)</f>
        <v>0</v>
      </c>
      <c r="G57" s="99" t="s">
        <v>140</v>
      </c>
      <c r="H57" s="99" t="s">
        <v>139</v>
      </c>
      <c r="I57" s="99"/>
      <c r="J57" s="99"/>
      <c r="K57" s="99">
        <v>209</v>
      </c>
      <c r="L57" s="99">
        <v>23</v>
      </c>
      <c r="M57" s="99">
        <v>3</v>
      </c>
      <c r="N57" s="99" t="s">
        <v>74</v>
      </c>
      <c r="O57" s="99">
        <v>0</v>
      </c>
      <c r="P57" s="99"/>
      <c r="Q57" s="99"/>
      <c r="R57" s="99"/>
      <c r="S57" s="99"/>
      <c r="T57" s="99"/>
      <c r="U57" s="99"/>
      <c r="V57" s="99"/>
      <c r="W57" s="99">
        <v>0</v>
      </c>
      <c r="X57" s="99">
        <v>1</v>
      </c>
      <c r="Y57" s="99">
        <v>0</v>
      </c>
      <c r="Z57" s="99"/>
      <c r="AA57" s="99"/>
      <c r="AB57" s="99"/>
    </row>
    <row r="58" spans="1:88" x14ac:dyDescent="0.2">
      <c r="A58" s="99">
        <v>50</v>
      </c>
      <c r="B58" s="99">
        <v>0</v>
      </c>
      <c r="C58" s="99">
        <v>0</v>
      </c>
      <c r="D58" s="99">
        <v>1</v>
      </c>
      <c r="E58" s="99">
        <v>233</v>
      </c>
      <c r="F58" s="99">
        <f>ROUND(Source!BD33,O58)</f>
        <v>0</v>
      </c>
      <c r="G58" s="99" t="s">
        <v>138</v>
      </c>
      <c r="H58" s="99" t="s">
        <v>137</v>
      </c>
      <c r="I58" s="99"/>
      <c r="J58" s="99"/>
      <c r="K58" s="99">
        <v>233</v>
      </c>
      <c r="L58" s="99">
        <v>24</v>
      </c>
      <c r="M58" s="99">
        <v>3</v>
      </c>
      <c r="N58" s="99" t="s">
        <v>74</v>
      </c>
      <c r="O58" s="99">
        <v>0</v>
      </c>
      <c r="P58" s="99"/>
      <c r="Q58" s="99"/>
      <c r="R58" s="99"/>
      <c r="S58" s="99"/>
      <c r="T58" s="99"/>
      <c r="U58" s="99"/>
      <c r="V58" s="99"/>
      <c r="W58" s="99">
        <v>0</v>
      </c>
      <c r="X58" s="99">
        <v>1</v>
      </c>
      <c r="Y58" s="99">
        <v>0</v>
      </c>
      <c r="Z58" s="99"/>
      <c r="AA58" s="99"/>
      <c r="AB58" s="99"/>
    </row>
    <row r="59" spans="1:88" x14ac:dyDescent="0.2">
      <c r="A59" s="99">
        <v>50</v>
      </c>
      <c r="B59" s="99">
        <v>0</v>
      </c>
      <c r="C59" s="99">
        <v>0</v>
      </c>
      <c r="D59" s="99">
        <v>1</v>
      </c>
      <c r="E59" s="99">
        <v>210</v>
      </c>
      <c r="F59" s="99">
        <f>ROUND(Source!X33,O59)</f>
        <v>4149</v>
      </c>
      <c r="G59" s="99" t="s">
        <v>136</v>
      </c>
      <c r="H59" s="99" t="s">
        <v>135</v>
      </c>
      <c r="I59" s="99"/>
      <c r="J59" s="99"/>
      <c r="K59" s="99">
        <v>210</v>
      </c>
      <c r="L59" s="99">
        <v>25</v>
      </c>
      <c r="M59" s="99">
        <v>3</v>
      </c>
      <c r="N59" s="99" t="s">
        <v>74</v>
      </c>
      <c r="O59" s="99">
        <v>0</v>
      </c>
      <c r="P59" s="99"/>
      <c r="Q59" s="99"/>
      <c r="R59" s="99"/>
      <c r="S59" s="99"/>
      <c r="T59" s="99"/>
      <c r="U59" s="99"/>
      <c r="V59" s="99"/>
      <c r="W59" s="99">
        <v>4149</v>
      </c>
      <c r="X59" s="99">
        <v>1</v>
      </c>
      <c r="Y59" s="99">
        <v>4149</v>
      </c>
      <c r="Z59" s="99"/>
      <c r="AA59" s="99"/>
      <c r="AB59" s="99"/>
    </row>
    <row r="60" spans="1:88" x14ac:dyDescent="0.2">
      <c r="A60" s="99">
        <v>50</v>
      </c>
      <c r="B60" s="99">
        <v>0</v>
      </c>
      <c r="C60" s="99">
        <v>0</v>
      </c>
      <c r="D60" s="99">
        <v>1</v>
      </c>
      <c r="E60" s="99">
        <v>211</v>
      </c>
      <c r="F60" s="99">
        <f>ROUND(Source!Y33,O60)</f>
        <v>2294</v>
      </c>
      <c r="G60" s="99" t="s">
        <v>134</v>
      </c>
      <c r="H60" s="99" t="s">
        <v>133</v>
      </c>
      <c r="I60" s="99"/>
      <c r="J60" s="99"/>
      <c r="K60" s="99">
        <v>211</v>
      </c>
      <c r="L60" s="99">
        <v>26</v>
      </c>
      <c r="M60" s="99">
        <v>3</v>
      </c>
      <c r="N60" s="99" t="s">
        <v>74</v>
      </c>
      <c r="O60" s="99">
        <v>0</v>
      </c>
      <c r="P60" s="99"/>
      <c r="Q60" s="99"/>
      <c r="R60" s="99"/>
      <c r="S60" s="99"/>
      <c r="T60" s="99"/>
      <c r="U60" s="99"/>
      <c r="V60" s="99"/>
      <c r="W60" s="99">
        <v>2294</v>
      </c>
      <c r="X60" s="99">
        <v>1</v>
      </c>
      <c r="Y60" s="99">
        <v>2294</v>
      </c>
      <c r="Z60" s="99"/>
      <c r="AA60" s="99"/>
      <c r="AB60" s="99"/>
    </row>
    <row r="61" spans="1:88" x14ac:dyDescent="0.2">
      <c r="A61" s="99">
        <v>50</v>
      </c>
      <c r="B61" s="99">
        <v>0</v>
      </c>
      <c r="C61" s="99">
        <v>0</v>
      </c>
      <c r="D61" s="99">
        <v>1</v>
      </c>
      <c r="E61" s="99">
        <v>224</v>
      </c>
      <c r="F61" s="99">
        <f>ROUND(Source!AR33,O61)</f>
        <v>13357</v>
      </c>
      <c r="G61" s="99" t="s">
        <v>132</v>
      </c>
      <c r="H61" s="99" t="s">
        <v>131</v>
      </c>
      <c r="I61" s="99"/>
      <c r="J61" s="99"/>
      <c r="K61" s="99">
        <v>224</v>
      </c>
      <c r="L61" s="99">
        <v>27</v>
      </c>
      <c r="M61" s="99">
        <v>3</v>
      </c>
      <c r="N61" s="99" t="s">
        <v>74</v>
      </c>
      <c r="O61" s="99">
        <v>0</v>
      </c>
      <c r="P61" s="99"/>
      <c r="Q61" s="99"/>
      <c r="R61" s="99"/>
      <c r="S61" s="99"/>
      <c r="T61" s="99"/>
      <c r="U61" s="99"/>
      <c r="V61" s="99"/>
      <c r="W61" s="99">
        <v>13357</v>
      </c>
      <c r="X61" s="99">
        <v>1</v>
      </c>
      <c r="Y61" s="99">
        <v>13357</v>
      </c>
      <c r="Z61" s="99"/>
      <c r="AA61" s="99"/>
      <c r="AB61" s="99"/>
    </row>
    <row r="63" spans="1:88" x14ac:dyDescent="0.2">
      <c r="A63" s="101">
        <v>4</v>
      </c>
      <c r="B63" s="101">
        <v>1</v>
      </c>
      <c r="C63" s="101"/>
      <c r="D63" s="101">
        <f>ROW(A69)</f>
        <v>69</v>
      </c>
      <c r="E63" s="101"/>
      <c r="F63" s="101" t="s">
        <v>199</v>
      </c>
      <c r="G63" s="101" t="s">
        <v>2</v>
      </c>
      <c r="H63" s="101" t="s">
        <v>74</v>
      </c>
      <c r="I63" s="101">
        <v>0</v>
      </c>
      <c r="J63" s="101"/>
      <c r="K63" s="101">
        <v>0</v>
      </c>
      <c r="L63" s="101"/>
      <c r="M63" s="101" t="s">
        <v>74</v>
      </c>
      <c r="N63" s="101"/>
      <c r="O63" s="101"/>
      <c r="P63" s="101"/>
      <c r="Q63" s="101"/>
      <c r="R63" s="101"/>
      <c r="S63" s="101">
        <v>0</v>
      </c>
      <c r="T63" s="101"/>
      <c r="U63" s="101" t="s">
        <v>74</v>
      </c>
      <c r="V63" s="101">
        <v>0</v>
      </c>
      <c r="W63" s="101"/>
      <c r="X63" s="101"/>
      <c r="Y63" s="101"/>
      <c r="Z63" s="101"/>
      <c r="AA63" s="101"/>
      <c r="AB63" s="101" t="s">
        <v>74</v>
      </c>
      <c r="AC63" s="101" t="s">
        <v>74</v>
      </c>
      <c r="AD63" s="101" t="s">
        <v>74</v>
      </c>
      <c r="AE63" s="101" t="s">
        <v>74</v>
      </c>
      <c r="AF63" s="101" t="s">
        <v>74</v>
      </c>
      <c r="AG63" s="101" t="s">
        <v>74</v>
      </c>
      <c r="AH63" s="101"/>
      <c r="AI63" s="101"/>
      <c r="AJ63" s="101"/>
      <c r="AK63" s="101"/>
      <c r="AL63" s="101"/>
      <c r="AM63" s="101"/>
      <c r="AN63" s="101"/>
      <c r="AO63" s="101"/>
      <c r="AP63" s="101" t="s">
        <v>74</v>
      </c>
      <c r="AQ63" s="101" t="s">
        <v>74</v>
      </c>
      <c r="AR63" s="101" t="s">
        <v>74</v>
      </c>
      <c r="AS63" s="101"/>
      <c r="AT63" s="101"/>
      <c r="AU63" s="101"/>
      <c r="AV63" s="101"/>
      <c r="AW63" s="101"/>
      <c r="AX63" s="101"/>
      <c r="AY63" s="101"/>
      <c r="AZ63" s="101" t="s">
        <v>74</v>
      </c>
      <c r="BA63" s="101"/>
      <c r="BB63" s="101" t="s">
        <v>74</v>
      </c>
      <c r="BC63" s="101" t="s">
        <v>74</v>
      </c>
      <c r="BD63" s="101" t="s">
        <v>74</v>
      </c>
      <c r="BE63" s="101" t="s">
        <v>74</v>
      </c>
      <c r="BF63" s="101" t="s">
        <v>74</v>
      </c>
      <c r="BG63" s="101" t="s">
        <v>74</v>
      </c>
      <c r="BH63" s="101" t="s">
        <v>74</v>
      </c>
      <c r="BI63" s="101" t="s">
        <v>74</v>
      </c>
      <c r="BJ63" s="101" t="s">
        <v>74</v>
      </c>
      <c r="BK63" s="101" t="s">
        <v>74</v>
      </c>
      <c r="BL63" s="101" t="s">
        <v>74</v>
      </c>
      <c r="BM63" s="101" t="s">
        <v>74</v>
      </c>
      <c r="BN63" s="101" t="s">
        <v>74</v>
      </c>
      <c r="BO63" s="101" t="s">
        <v>74</v>
      </c>
      <c r="BP63" s="101" t="s">
        <v>74</v>
      </c>
      <c r="BQ63" s="101"/>
      <c r="BR63" s="101"/>
      <c r="BS63" s="101"/>
      <c r="BT63" s="101"/>
      <c r="BU63" s="101"/>
      <c r="BV63" s="101"/>
      <c r="BW63" s="101"/>
      <c r="BX63" s="101">
        <v>0</v>
      </c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>
        <v>0</v>
      </c>
    </row>
    <row r="65" spans="1:245" x14ac:dyDescent="0.2">
      <c r="A65" s="100">
        <v>52</v>
      </c>
      <c r="B65" s="100">
        <f>B69</f>
        <v>1</v>
      </c>
      <c r="C65" s="100">
        <f>C69</f>
        <v>4</v>
      </c>
      <c r="D65" s="100">
        <f>D69</f>
        <v>63</v>
      </c>
      <c r="E65" s="100">
        <f>E69</f>
        <v>0</v>
      </c>
      <c r="F65" s="100" t="str">
        <f>F69</f>
        <v>Новый раздел</v>
      </c>
      <c r="G65" s="100" t="str">
        <f>G69</f>
        <v>Оборудование</v>
      </c>
      <c r="H65" s="100"/>
      <c r="I65" s="100"/>
      <c r="J65" s="100"/>
      <c r="K65" s="100"/>
      <c r="L65" s="100"/>
      <c r="M65" s="100"/>
      <c r="N65" s="100"/>
      <c r="O65" s="100">
        <f>O69</f>
        <v>213805</v>
      </c>
      <c r="P65" s="100">
        <f>P69</f>
        <v>213805</v>
      </c>
      <c r="Q65" s="100">
        <f>Q69</f>
        <v>0</v>
      </c>
      <c r="R65" s="100">
        <f>R69</f>
        <v>0</v>
      </c>
      <c r="S65" s="100">
        <f>S69</f>
        <v>0</v>
      </c>
      <c r="T65" s="100">
        <f>T69</f>
        <v>0</v>
      </c>
      <c r="U65" s="100">
        <f>U69</f>
        <v>0</v>
      </c>
      <c r="V65" s="100">
        <f>V69</f>
        <v>0</v>
      </c>
      <c r="W65" s="100">
        <f>W69</f>
        <v>0</v>
      </c>
      <c r="X65" s="100">
        <f>X69</f>
        <v>0</v>
      </c>
      <c r="Y65" s="100">
        <f>Y69</f>
        <v>0</v>
      </c>
      <c r="Z65" s="100">
        <f>Z69</f>
        <v>0</v>
      </c>
      <c r="AA65" s="100">
        <f>AA69</f>
        <v>0</v>
      </c>
      <c r="AB65" s="100">
        <f>AB69</f>
        <v>213805</v>
      </c>
      <c r="AC65" s="100">
        <f>AC69</f>
        <v>213805</v>
      </c>
      <c r="AD65" s="100">
        <f>AD69</f>
        <v>0</v>
      </c>
      <c r="AE65" s="100">
        <f>AE69</f>
        <v>0</v>
      </c>
      <c r="AF65" s="100">
        <f>AF69</f>
        <v>0</v>
      </c>
      <c r="AG65" s="100">
        <f>AG69</f>
        <v>0</v>
      </c>
      <c r="AH65" s="100">
        <f>AH69</f>
        <v>0</v>
      </c>
      <c r="AI65" s="100">
        <f>AI69</f>
        <v>0</v>
      </c>
      <c r="AJ65" s="100">
        <f>AJ69</f>
        <v>0</v>
      </c>
      <c r="AK65" s="100">
        <f>AK69</f>
        <v>0</v>
      </c>
      <c r="AL65" s="100">
        <f>AL69</f>
        <v>0</v>
      </c>
      <c r="AM65" s="100">
        <f>AM69</f>
        <v>0</v>
      </c>
      <c r="AN65" s="100">
        <f>AN69</f>
        <v>0</v>
      </c>
      <c r="AO65" s="100">
        <f>AO69</f>
        <v>0</v>
      </c>
      <c r="AP65" s="100">
        <f>AP69</f>
        <v>213805</v>
      </c>
      <c r="AQ65" s="100">
        <f>AQ69</f>
        <v>0</v>
      </c>
      <c r="AR65" s="100">
        <f>AR69</f>
        <v>213805</v>
      </c>
      <c r="AS65" s="100">
        <f>AS69</f>
        <v>0</v>
      </c>
      <c r="AT65" s="100">
        <f>AT69</f>
        <v>0</v>
      </c>
      <c r="AU65" s="100">
        <f>AU69</f>
        <v>0</v>
      </c>
      <c r="AV65" s="100">
        <f>AV69</f>
        <v>213805</v>
      </c>
      <c r="AW65" s="100">
        <f>AW69</f>
        <v>0</v>
      </c>
      <c r="AX65" s="100">
        <f>AX69</f>
        <v>0</v>
      </c>
      <c r="AY65" s="100">
        <f>AY69</f>
        <v>0</v>
      </c>
      <c r="AZ65" s="100">
        <f>AZ69</f>
        <v>213805</v>
      </c>
      <c r="BA65" s="100">
        <f>BA69</f>
        <v>0</v>
      </c>
      <c r="BB65" s="100">
        <f>BB69</f>
        <v>0</v>
      </c>
      <c r="BC65" s="100">
        <f>BC69</f>
        <v>0</v>
      </c>
      <c r="BD65" s="100">
        <f>BD69</f>
        <v>0</v>
      </c>
      <c r="BE65" s="100">
        <f>BE69</f>
        <v>0</v>
      </c>
      <c r="BF65" s="100">
        <f>BF69</f>
        <v>0</v>
      </c>
      <c r="BG65" s="100">
        <f>BG69</f>
        <v>0</v>
      </c>
      <c r="BH65" s="100">
        <f>BH69</f>
        <v>0</v>
      </c>
      <c r="BI65" s="100">
        <f>BI69</f>
        <v>0</v>
      </c>
      <c r="BJ65" s="100">
        <f>BJ69</f>
        <v>0</v>
      </c>
      <c r="BK65" s="100">
        <f>BK69</f>
        <v>0</v>
      </c>
      <c r="BL65" s="100">
        <f>BL69</f>
        <v>0</v>
      </c>
      <c r="BM65" s="100">
        <f>BM69</f>
        <v>0</v>
      </c>
      <c r="BN65" s="100">
        <f>BN69</f>
        <v>0</v>
      </c>
      <c r="BO65" s="100">
        <f>BO69</f>
        <v>0</v>
      </c>
      <c r="BP65" s="100">
        <f>BP69</f>
        <v>0</v>
      </c>
      <c r="BQ65" s="100">
        <f>BQ69</f>
        <v>0</v>
      </c>
      <c r="BR65" s="100">
        <f>BR69</f>
        <v>0</v>
      </c>
      <c r="BS65" s="100">
        <f>BS69</f>
        <v>0</v>
      </c>
      <c r="BT65" s="100">
        <f>BT69</f>
        <v>0</v>
      </c>
      <c r="BU65" s="100">
        <f>BU69</f>
        <v>0</v>
      </c>
      <c r="BV65" s="100">
        <f>BV69</f>
        <v>0</v>
      </c>
      <c r="BW65" s="100">
        <f>BW69</f>
        <v>0</v>
      </c>
      <c r="BX65" s="100">
        <f>BX69</f>
        <v>0</v>
      </c>
      <c r="BY65" s="100">
        <f>BY69</f>
        <v>213805</v>
      </c>
      <c r="BZ65" s="100">
        <f>BZ69</f>
        <v>0</v>
      </c>
      <c r="CA65" s="100">
        <f>CA69</f>
        <v>213805</v>
      </c>
      <c r="CB65" s="100">
        <f>CB69</f>
        <v>0</v>
      </c>
      <c r="CC65" s="100">
        <f>CC69</f>
        <v>0</v>
      </c>
      <c r="CD65" s="100">
        <f>CD69</f>
        <v>0</v>
      </c>
      <c r="CE65" s="100">
        <f>CE69</f>
        <v>213805</v>
      </c>
      <c r="CF65" s="100">
        <f>CF69</f>
        <v>0</v>
      </c>
      <c r="CG65" s="100">
        <f>CG69</f>
        <v>0</v>
      </c>
      <c r="CH65" s="100">
        <f>CH69</f>
        <v>0</v>
      </c>
      <c r="CI65" s="100">
        <f>CI69</f>
        <v>213805</v>
      </c>
      <c r="CJ65" s="100">
        <f>CJ69</f>
        <v>0</v>
      </c>
      <c r="CK65" s="100">
        <f>CK69</f>
        <v>0</v>
      </c>
      <c r="CL65" s="100">
        <f>CL69</f>
        <v>0</v>
      </c>
      <c r="CM65" s="100">
        <f>CM69</f>
        <v>0</v>
      </c>
      <c r="CN65" s="100">
        <f>CN69</f>
        <v>0</v>
      </c>
      <c r="CO65" s="100">
        <f>CO69</f>
        <v>0</v>
      </c>
      <c r="CP65" s="100">
        <f>CP69</f>
        <v>0</v>
      </c>
      <c r="CQ65" s="100">
        <f>CQ69</f>
        <v>0</v>
      </c>
      <c r="CR65" s="100">
        <f>CR69</f>
        <v>0</v>
      </c>
      <c r="CS65" s="100">
        <f>CS69</f>
        <v>0</v>
      </c>
      <c r="CT65" s="100">
        <f>CT69</f>
        <v>0</v>
      </c>
      <c r="CU65" s="100">
        <f>CU69</f>
        <v>0</v>
      </c>
      <c r="CV65" s="100">
        <f>CV69</f>
        <v>0</v>
      </c>
      <c r="CW65" s="100">
        <f>CW69</f>
        <v>0</v>
      </c>
      <c r="CX65" s="100">
        <f>CX69</f>
        <v>0</v>
      </c>
      <c r="CY65" s="100">
        <f>CY69</f>
        <v>0</v>
      </c>
      <c r="CZ65" s="100">
        <f>CZ69</f>
        <v>0</v>
      </c>
      <c r="DA65" s="100">
        <f>DA69</f>
        <v>0</v>
      </c>
      <c r="DB65" s="100">
        <f>DB69</f>
        <v>0</v>
      </c>
      <c r="DC65" s="100">
        <f>DC69</f>
        <v>0</v>
      </c>
      <c r="DD65" s="100">
        <f>DD69</f>
        <v>0</v>
      </c>
      <c r="DE65" s="100">
        <f>DE69</f>
        <v>0</v>
      </c>
      <c r="DF65" s="100">
        <f>DF69</f>
        <v>0</v>
      </c>
      <c r="DG65" s="98">
        <f>DG69</f>
        <v>0</v>
      </c>
      <c r="DH65" s="98">
        <f>DH69</f>
        <v>0</v>
      </c>
      <c r="DI65" s="98">
        <f>DI69</f>
        <v>0</v>
      </c>
      <c r="DJ65" s="98">
        <f>DJ69</f>
        <v>0</v>
      </c>
      <c r="DK65" s="98">
        <f>DK69</f>
        <v>0</v>
      </c>
      <c r="DL65" s="98">
        <f>DL69</f>
        <v>0</v>
      </c>
      <c r="DM65" s="98">
        <f>DM69</f>
        <v>0</v>
      </c>
      <c r="DN65" s="98">
        <f>DN69</f>
        <v>0</v>
      </c>
      <c r="DO65" s="98">
        <f>DO69</f>
        <v>0</v>
      </c>
      <c r="DP65" s="98">
        <f>DP69</f>
        <v>0</v>
      </c>
      <c r="DQ65" s="98">
        <f>DQ69</f>
        <v>0</v>
      </c>
      <c r="DR65" s="98">
        <f>DR69</f>
        <v>0</v>
      </c>
      <c r="DS65" s="98">
        <f>DS69</f>
        <v>0</v>
      </c>
      <c r="DT65" s="98">
        <f>DT69</f>
        <v>0</v>
      </c>
      <c r="DU65" s="98">
        <f>DU69</f>
        <v>0</v>
      </c>
      <c r="DV65" s="98">
        <f>DV69</f>
        <v>0</v>
      </c>
      <c r="DW65" s="98">
        <f>DW69</f>
        <v>0</v>
      </c>
      <c r="DX65" s="98">
        <f>DX69</f>
        <v>0</v>
      </c>
      <c r="DY65" s="98">
        <f>DY69</f>
        <v>0</v>
      </c>
      <c r="DZ65" s="98">
        <f>DZ69</f>
        <v>0</v>
      </c>
      <c r="EA65" s="98">
        <f>EA69</f>
        <v>0</v>
      </c>
      <c r="EB65" s="98">
        <f>EB69</f>
        <v>0</v>
      </c>
      <c r="EC65" s="98">
        <f>EC69</f>
        <v>0</v>
      </c>
      <c r="ED65" s="98">
        <f>ED69</f>
        <v>0</v>
      </c>
      <c r="EE65" s="98">
        <f>EE69</f>
        <v>0</v>
      </c>
      <c r="EF65" s="98">
        <f>EF69</f>
        <v>0</v>
      </c>
      <c r="EG65" s="98">
        <f>EG69</f>
        <v>0</v>
      </c>
      <c r="EH65" s="98">
        <f>EH69</f>
        <v>0</v>
      </c>
      <c r="EI65" s="98">
        <f>EI69</f>
        <v>0</v>
      </c>
      <c r="EJ65" s="98">
        <f>EJ69</f>
        <v>0</v>
      </c>
      <c r="EK65" s="98">
        <f>EK69</f>
        <v>0</v>
      </c>
      <c r="EL65" s="98">
        <f>EL69</f>
        <v>0</v>
      </c>
      <c r="EM65" s="98">
        <f>EM69</f>
        <v>0</v>
      </c>
      <c r="EN65" s="98">
        <f>EN69</f>
        <v>0</v>
      </c>
      <c r="EO65" s="98">
        <f>EO69</f>
        <v>0</v>
      </c>
      <c r="EP65" s="98">
        <f>EP69</f>
        <v>0</v>
      </c>
      <c r="EQ65" s="98">
        <f>EQ69</f>
        <v>0</v>
      </c>
      <c r="ER65" s="98">
        <f>ER69</f>
        <v>0</v>
      </c>
      <c r="ES65" s="98">
        <f>ES69</f>
        <v>0</v>
      </c>
      <c r="ET65" s="98">
        <f>ET69</f>
        <v>0</v>
      </c>
      <c r="EU65" s="98">
        <f>EU69</f>
        <v>0</v>
      </c>
      <c r="EV65" s="98">
        <f>EV69</f>
        <v>0</v>
      </c>
      <c r="EW65" s="98">
        <f>EW69</f>
        <v>0</v>
      </c>
      <c r="EX65" s="98">
        <f>EX69</f>
        <v>0</v>
      </c>
      <c r="EY65" s="98">
        <f>EY69</f>
        <v>0</v>
      </c>
      <c r="EZ65" s="98">
        <f>EZ69</f>
        <v>0</v>
      </c>
      <c r="FA65" s="98">
        <f>FA69</f>
        <v>0</v>
      </c>
      <c r="FB65" s="98">
        <f>FB69</f>
        <v>0</v>
      </c>
      <c r="FC65" s="98">
        <f>FC69</f>
        <v>0</v>
      </c>
      <c r="FD65" s="98">
        <f>FD69</f>
        <v>0</v>
      </c>
      <c r="FE65" s="98">
        <f>FE69</f>
        <v>0</v>
      </c>
      <c r="FF65" s="98">
        <f>FF69</f>
        <v>0</v>
      </c>
      <c r="FG65" s="98">
        <f>FG69</f>
        <v>0</v>
      </c>
      <c r="FH65" s="98">
        <f>FH69</f>
        <v>0</v>
      </c>
      <c r="FI65" s="98">
        <f>FI69</f>
        <v>0</v>
      </c>
      <c r="FJ65" s="98">
        <f>FJ69</f>
        <v>0</v>
      </c>
      <c r="FK65" s="98">
        <f>FK69</f>
        <v>0</v>
      </c>
      <c r="FL65" s="98">
        <f>FL69</f>
        <v>0</v>
      </c>
      <c r="FM65" s="98">
        <f>FM69</f>
        <v>0</v>
      </c>
      <c r="FN65" s="98">
        <f>FN69</f>
        <v>0</v>
      </c>
      <c r="FO65" s="98">
        <f>FO69</f>
        <v>0</v>
      </c>
      <c r="FP65" s="98">
        <f>FP69</f>
        <v>0</v>
      </c>
      <c r="FQ65" s="98">
        <f>FQ69</f>
        <v>0</v>
      </c>
      <c r="FR65" s="98">
        <f>FR69</f>
        <v>0</v>
      </c>
      <c r="FS65" s="98">
        <f>FS69</f>
        <v>0</v>
      </c>
      <c r="FT65" s="98">
        <f>FT69</f>
        <v>0</v>
      </c>
      <c r="FU65" s="98">
        <f>FU69</f>
        <v>0</v>
      </c>
      <c r="FV65" s="98">
        <f>FV69</f>
        <v>0</v>
      </c>
      <c r="FW65" s="98">
        <f>FW69</f>
        <v>0</v>
      </c>
      <c r="FX65" s="98">
        <f>FX69</f>
        <v>0</v>
      </c>
      <c r="FY65" s="98">
        <f>FY69</f>
        <v>0</v>
      </c>
      <c r="FZ65" s="98">
        <f>FZ69</f>
        <v>0</v>
      </c>
      <c r="GA65" s="98">
        <f>GA69</f>
        <v>0</v>
      </c>
      <c r="GB65" s="98">
        <f>GB69</f>
        <v>0</v>
      </c>
      <c r="GC65" s="98">
        <f>GC69</f>
        <v>0</v>
      </c>
      <c r="GD65" s="98">
        <f>GD69</f>
        <v>0</v>
      </c>
      <c r="GE65" s="98">
        <f>GE69</f>
        <v>0</v>
      </c>
      <c r="GF65" s="98">
        <f>GF69</f>
        <v>0</v>
      </c>
      <c r="GG65" s="98">
        <f>GG69</f>
        <v>0</v>
      </c>
      <c r="GH65" s="98">
        <f>GH69</f>
        <v>0</v>
      </c>
      <c r="GI65" s="98">
        <f>GI69</f>
        <v>0</v>
      </c>
      <c r="GJ65" s="98">
        <f>GJ69</f>
        <v>0</v>
      </c>
      <c r="GK65" s="98">
        <f>GK69</f>
        <v>0</v>
      </c>
      <c r="GL65" s="98">
        <f>GL69</f>
        <v>0</v>
      </c>
      <c r="GM65" s="98">
        <f>GM69</f>
        <v>0</v>
      </c>
      <c r="GN65" s="98">
        <f>GN69</f>
        <v>0</v>
      </c>
      <c r="GO65" s="98">
        <f>GO69</f>
        <v>0</v>
      </c>
      <c r="GP65" s="98">
        <f>GP69</f>
        <v>0</v>
      </c>
      <c r="GQ65" s="98">
        <f>GQ69</f>
        <v>0</v>
      </c>
      <c r="GR65" s="98">
        <f>GR69</f>
        <v>0</v>
      </c>
      <c r="GS65" s="98">
        <f>GS69</f>
        <v>0</v>
      </c>
      <c r="GT65" s="98">
        <f>GT69</f>
        <v>0</v>
      </c>
      <c r="GU65" s="98">
        <f>GU69</f>
        <v>0</v>
      </c>
      <c r="GV65" s="98">
        <f>GV69</f>
        <v>0</v>
      </c>
      <c r="GW65" s="98">
        <f>GW69</f>
        <v>0</v>
      </c>
      <c r="GX65" s="98">
        <f>GX69</f>
        <v>0</v>
      </c>
    </row>
    <row r="67" spans="1:245" x14ac:dyDescent="0.2">
      <c r="A67" s="27">
        <v>17</v>
      </c>
      <c r="B67" s="27">
        <v>1</v>
      </c>
      <c r="E67" s="27" t="s">
        <v>207</v>
      </c>
      <c r="F67" s="27" t="s">
        <v>206</v>
      </c>
      <c r="G67" s="27" t="s">
        <v>205</v>
      </c>
      <c r="H67" s="27" t="s">
        <v>22</v>
      </c>
      <c r="I67" s="27">
        <v>1</v>
      </c>
      <c r="J67" s="27">
        <v>0</v>
      </c>
      <c r="K67" s="27">
        <v>1</v>
      </c>
      <c r="O67" s="27">
        <f>ROUND(CP67,0)</f>
        <v>213805</v>
      </c>
      <c r="P67" s="27">
        <f>ROUND(CQ67*I67,0)</f>
        <v>213805</v>
      </c>
      <c r="Q67" s="27">
        <f>ROUND(CR67*I67,0)</f>
        <v>0</v>
      </c>
      <c r="R67" s="27">
        <f>ROUND(CS67*I67,0)</f>
        <v>0</v>
      </c>
      <c r="S67" s="27">
        <f>ROUND(CT67*I67,0)</f>
        <v>0</v>
      </c>
      <c r="T67" s="27">
        <f>ROUND(CU67*I67,0)</f>
        <v>0</v>
      </c>
      <c r="U67" s="27">
        <f>CV67*I67</f>
        <v>0</v>
      </c>
      <c r="V67" s="27">
        <f>CW67*I67</f>
        <v>0</v>
      </c>
      <c r="W67" s="27">
        <f>ROUND(CX67*I67,0)</f>
        <v>0</v>
      </c>
      <c r="X67" s="27">
        <f>ROUND(CY67,0)</f>
        <v>0</v>
      </c>
      <c r="Y67" s="27">
        <f>ROUND(CZ67,0)</f>
        <v>0</v>
      </c>
      <c r="AA67" s="27">
        <v>34787475</v>
      </c>
      <c r="AB67" s="27">
        <f>ROUND((AC67+AD67+AF67),6)</f>
        <v>213804.53</v>
      </c>
      <c r="AC67" s="27">
        <f>ROUND((ES67),6)</f>
        <v>213804.53</v>
      </c>
      <c r="AD67" s="27">
        <f>ROUND((((ET67)-(EU67))+AE67),6)</f>
        <v>0</v>
      </c>
      <c r="AE67" s="27">
        <f>ROUND((EU67),6)</f>
        <v>0</v>
      </c>
      <c r="AF67" s="27">
        <f>ROUND((EV67),6)</f>
        <v>0</v>
      </c>
      <c r="AG67" s="27">
        <f>ROUND((AP67),6)</f>
        <v>0</v>
      </c>
      <c r="AH67" s="27">
        <f>(EW67)</f>
        <v>0</v>
      </c>
      <c r="AI67" s="27">
        <f>(EX67)</f>
        <v>0</v>
      </c>
      <c r="AJ67" s="27">
        <f>(AS67)</f>
        <v>0</v>
      </c>
      <c r="AK67" s="27">
        <v>213804.53</v>
      </c>
      <c r="AL67" s="27">
        <v>213804.53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1</v>
      </c>
      <c r="AW67" s="27">
        <v>1</v>
      </c>
      <c r="AZ67" s="27">
        <v>1</v>
      </c>
      <c r="BA67" s="27">
        <v>1</v>
      </c>
      <c r="BB67" s="27">
        <v>1</v>
      </c>
      <c r="BC67" s="27">
        <v>0.71</v>
      </c>
      <c r="BD67" s="27" t="s">
        <v>74</v>
      </c>
      <c r="BE67" s="27" t="s">
        <v>74</v>
      </c>
      <c r="BF67" s="27" t="s">
        <v>74</v>
      </c>
      <c r="BG67" s="27" t="s">
        <v>74</v>
      </c>
      <c r="BH67" s="27">
        <v>3</v>
      </c>
      <c r="BI67" s="27">
        <v>3</v>
      </c>
      <c r="BJ67" s="27" t="s">
        <v>74</v>
      </c>
      <c r="BM67" s="27">
        <v>100</v>
      </c>
      <c r="BN67" s="27">
        <v>0</v>
      </c>
      <c r="BO67" s="27" t="s">
        <v>74</v>
      </c>
      <c r="BP67" s="27">
        <v>0</v>
      </c>
      <c r="BQ67" s="27">
        <v>5</v>
      </c>
      <c r="BR67" s="27">
        <v>0</v>
      </c>
      <c r="BS67" s="27">
        <v>1</v>
      </c>
      <c r="BT67" s="27">
        <v>1</v>
      </c>
      <c r="BU67" s="27">
        <v>1</v>
      </c>
      <c r="BV67" s="27">
        <v>1</v>
      </c>
      <c r="BW67" s="27">
        <v>1</v>
      </c>
      <c r="BX67" s="27">
        <v>1</v>
      </c>
      <c r="BY67" s="27" t="s">
        <v>74</v>
      </c>
      <c r="BZ67" s="27">
        <v>0</v>
      </c>
      <c r="CA67" s="27">
        <v>0</v>
      </c>
      <c r="CB67" s="27" t="s">
        <v>74</v>
      </c>
      <c r="CE67" s="27">
        <v>0</v>
      </c>
      <c r="CF67" s="27">
        <v>0</v>
      </c>
      <c r="CG67" s="27">
        <v>0</v>
      </c>
      <c r="CM67" s="27">
        <v>0</v>
      </c>
      <c r="CN67" s="27" t="s">
        <v>74</v>
      </c>
      <c r="CO67" s="27">
        <v>0</v>
      </c>
      <c r="CP67" s="27">
        <f>(P67+Q67+S67)</f>
        <v>213805</v>
      </c>
      <c r="CQ67" s="27">
        <f>AC67</f>
        <v>213804.53</v>
      </c>
      <c r="CR67" s="27">
        <f>AD67*BB67</f>
        <v>0</v>
      </c>
      <c r="CS67" s="27">
        <f>AE67*BS67</f>
        <v>0</v>
      </c>
      <c r="CT67" s="27">
        <f>AF67*BA67</f>
        <v>0</v>
      </c>
      <c r="CU67" s="27">
        <f>AG67</f>
        <v>0</v>
      </c>
      <c r="CV67" s="27">
        <f>AH67</f>
        <v>0</v>
      </c>
      <c r="CW67" s="27">
        <f>AI67</f>
        <v>0</v>
      </c>
      <c r="CX67" s="27">
        <f>AJ67</f>
        <v>0</v>
      </c>
      <c r="CY67" s="27">
        <f>0</f>
        <v>0</v>
      </c>
      <c r="CZ67" s="27">
        <f>0</f>
        <v>0</v>
      </c>
      <c r="DC67" s="27" t="s">
        <v>74</v>
      </c>
      <c r="DD67" s="27" t="s">
        <v>74</v>
      </c>
      <c r="DE67" s="27" t="s">
        <v>74</v>
      </c>
      <c r="DF67" s="27" t="s">
        <v>74</v>
      </c>
      <c r="DG67" s="27" t="s">
        <v>74</v>
      </c>
      <c r="DH67" s="27" t="s">
        <v>74</v>
      </c>
      <c r="DI67" s="27" t="s">
        <v>74</v>
      </c>
      <c r="DJ67" s="27" t="s">
        <v>74</v>
      </c>
      <c r="DK67" s="27" t="s">
        <v>74</v>
      </c>
      <c r="DL67" s="27" t="s">
        <v>74</v>
      </c>
      <c r="DM67" s="27" t="s">
        <v>74</v>
      </c>
      <c r="DN67" s="27">
        <v>0</v>
      </c>
      <c r="DO67" s="27">
        <v>0</v>
      </c>
      <c r="DP67" s="27">
        <v>1</v>
      </c>
      <c r="DQ67" s="27">
        <v>1</v>
      </c>
      <c r="DU67" s="27">
        <v>1013</v>
      </c>
      <c r="DV67" s="27" t="s">
        <v>22</v>
      </c>
      <c r="DW67" s="27" t="s">
        <v>22</v>
      </c>
      <c r="DX67" s="27">
        <v>1</v>
      </c>
      <c r="DZ67" s="27" t="s">
        <v>74</v>
      </c>
      <c r="EA67" s="27" t="s">
        <v>74</v>
      </c>
      <c r="EB67" s="27" t="s">
        <v>74</v>
      </c>
      <c r="EC67" s="27" t="s">
        <v>74</v>
      </c>
      <c r="EE67" s="27">
        <v>32940653</v>
      </c>
      <c r="EF67" s="27">
        <v>5</v>
      </c>
      <c r="EG67" s="27" t="s">
        <v>204</v>
      </c>
      <c r="EH67" s="27">
        <v>0</v>
      </c>
      <c r="EI67" s="27" t="s">
        <v>74</v>
      </c>
      <c r="EJ67" s="27">
        <v>3</v>
      </c>
      <c r="EK67" s="27">
        <v>100</v>
      </c>
      <c r="EL67" s="27" t="s">
        <v>2</v>
      </c>
      <c r="EM67" s="27" t="s">
        <v>203</v>
      </c>
      <c r="EO67" s="27" t="s">
        <v>74</v>
      </c>
      <c r="EQ67" s="27">
        <v>0</v>
      </c>
      <c r="ER67" s="27">
        <v>213804.53</v>
      </c>
      <c r="ES67" s="27">
        <v>213804.53</v>
      </c>
      <c r="ET67" s="27">
        <v>0</v>
      </c>
      <c r="EU67" s="27">
        <v>0</v>
      </c>
      <c r="EV67" s="27">
        <v>0</v>
      </c>
      <c r="EW67" s="27">
        <v>0</v>
      </c>
      <c r="EX67" s="27">
        <v>0</v>
      </c>
      <c r="EY67" s="27">
        <v>0</v>
      </c>
      <c r="EZ67" s="27">
        <v>5</v>
      </c>
      <c r="FC67" s="27">
        <v>0</v>
      </c>
      <c r="FD67" s="27">
        <v>18</v>
      </c>
      <c r="FF67" s="27">
        <v>205115.83</v>
      </c>
      <c r="FQ67" s="27">
        <v>0</v>
      </c>
      <c r="FR67" s="27">
        <f>ROUND(IF(AND(BH67=3,BI67=3),P67,0),0)</f>
        <v>213805</v>
      </c>
      <c r="FS67" s="27">
        <v>0</v>
      </c>
      <c r="FX67" s="27">
        <v>0</v>
      </c>
      <c r="FY67" s="27">
        <v>0</v>
      </c>
      <c r="GA67" s="27" t="s">
        <v>202</v>
      </c>
      <c r="GD67" s="27">
        <v>1</v>
      </c>
      <c r="GF67" s="27">
        <v>-650230358</v>
      </c>
      <c r="GG67" s="27">
        <v>2</v>
      </c>
      <c r="GH67" s="27">
        <v>3</v>
      </c>
      <c r="GI67" s="27">
        <v>3</v>
      </c>
      <c r="GJ67" s="27">
        <v>0</v>
      </c>
      <c r="GK67" s="27">
        <v>0</v>
      </c>
      <c r="GL67" s="27">
        <f>ROUND(IF(AND(BH67=3,BI67=3,FS67&lt;&gt;0),P67,0),0)</f>
        <v>0</v>
      </c>
      <c r="GM67" s="27">
        <f>ROUND(O67+X67+Y67,0)+GX67</f>
        <v>213805</v>
      </c>
      <c r="GN67" s="27">
        <f>IF(OR(BI67=0,BI67=1),ROUND(O67+X67+Y67,0),0)</f>
        <v>0</v>
      </c>
      <c r="GO67" s="27">
        <f>IF(BI67=2,ROUND(O67+X67+Y67,0),0)</f>
        <v>0</v>
      </c>
      <c r="GP67" s="27">
        <f>IF(BI67=4,ROUND(O67+X67+Y67,0)+GX67,0)</f>
        <v>0</v>
      </c>
      <c r="GR67" s="27">
        <v>1</v>
      </c>
      <c r="GS67" s="27">
        <v>1</v>
      </c>
      <c r="GT67" s="27">
        <v>0</v>
      </c>
      <c r="GU67" s="27" t="s">
        <v>74</v>
      </c>
      <c r="GV67" s="27">
        <f>ROUND((GT67),6)</f>
        <v>0</v>
      </c>
      <c r="GW67" s="27">
        <v>1</v>
      </c>
      <c r="GX67" s="27">
        <f>ROUND(HC67*I67,0)</f>
        <v>0</v>
      </c>
      <c r="HA67" s="27">
        <v>0</v>
      </c>
      <c r="HB67" s="27">
        <v>0</v>
      </c>
      <c r="HC67" s="27">
        <f>GV67*GW67</f>
        <v>0</v>
      </c>
      <c r="HE67" s="27" t="s">
        <v>201</v>
      </c>
      <c r="HF67" s="27" t="s">
        <v>200</v>
      </c>
      <c r="HH67" s="27">
        <f>ROUND(AC67*I67,0)</f>
        <v>213805</v>
      </c>
      <c r="HM67" s="27" t="s">
        <v>74</v>
      </c>
      <c r="HN67" s="27" t="s">
        <v>74</v>
      </c>
      <c r="HO67" s="27" t="s">
        <v>74</v>
      </c>
      <c r="HP67" s="27" t="s">
        <v>74</v>
      </c>
      <c r="HQ67" s="27" t="s">
        <v>74</v>
      </c>
      <c r="IK67" s="27">
        <v>0</v>
      </c>
    </row>
    <row r="69" spans="1:245" x14ac:dyDescent="0.2">
      <c r="A69" s="100">
        <v>51</v>
      </c>
      <c r="B69" s="100">
        <f>B63</f>
        <v>1</v>
      </c>
      <c r="C69" s="100">
        <f>A63</f>
        <v>4</v>
      </c>
      <c r="D69" s="100">
        <f>ROW(A63)</f>
        <v>63</v>
      </c>
      <c r="E69" s="100"/>
      <c r="F69" s="100" t="str">
        <f>IF(F63&lt;&gt;"",F63,"")</f>
        <v>Новый раздел</v>
      </c>
      <c r="G69" s="100" t="str">
        <f>IF(G63&lt;&gt;"",G63,"")</f>
        <v>Оборудование</v>
      </c>
      <c r="H69" s="100">
        <v>0</v>
      </c>
      <c r="I69" s="100"/>
      <c r="J69" s="100"/>
      <c r="K69" s="100"/>
      <c r="L69" s="100"/>
      <c r="M69" s="100"/>
      <c r="N69" s="100"/>
      <c r="O69" s="100">
        <f>ROUND(AB69,0)</f>
        <v>213805</v>
      </c>
      <c r="P69" s="100">
        <f>ROUND(AC69,0)</f>
        <v>213805</v>
      </c>
      <c r="Q69" s="100">
        <f>ROUND(AD69,0)</f>
        <v>0</v>
      </c>
      <c r="R69" s="100">
        <f>ROUND(AE69,0)</f>
        <v>0</v>
      </c>
      <c r="S69" s="100">
        <f>ROUND(AF69,0)</f>
        <v>0</v>
      </c>
      <c r="T69" s="100">
        <f>ROUND(AG69,0)</f>
        <v>0</v>
      </c>
      <c r="U69" s="100">
        <f>AH69</f>
        <v>0</v>
      </c>
      <c r="V69" s="100">
        <f>AI69</f>
        <v>0</v>
      </c>
      <c r="W69" s="100">
        <f>ROUND(AJ69,0)</f>
        <v>0</v>
      </c>
      <c r="X69" s="100">
        <f>ROUND(AK69,0)</f>
        <v>0</v>
      </c>
      <c r="Y69" s="100">
        <f>ROUND(AL69,0)</f>
        <v>0</v>
      </c>
      <c r="Z69" s="100"/>
      <c r="AA69" s="100"/>
      <c r="AB69" s="100">
        <f>ROUND(SUMIF(AA67:AA67,"=34787475",O67:O67),0)</f>
        <v>213805</v>
      </c>
      <c r="AC69" s="100">
        <f>ROUND(SUMIF(AA67:AA67,"=34787475",P67:P67),0)</f>
        <v>213805</v>
      </c>
      <c r="AD69" s="100">
        <f>ROUND(SUMIF(AA67:AA67,"=34787475",Q67:Q67),0)</f>
        <v>0</v>
      </c>
      <c r="AE69" s="100">
        <f>ROUND(SUMIF(AA67:AA67,"=34787475",R67:R67),0)</f>
        <v>0</v>
      </c>
      <c r="AF69" s="100">
        <f>ROUND(SUMIF(AA67:AA67,"=34787475",S67:S67),0)</f>
        <v>0</v>
      </c>
      <c r="AG69" s="100">
        <f>ROUND(SUMIF(AA67:AA67,"=34787475",T67:T67),0)</f>
        <v>0</v>
      </c>
      <c r="AH69" s="100">
        <f>SUMIF(AA67:AA67,"=34787475",U67:U67)</f>
        <v>0</v>
      </c>
      <c r="AI69" s="100">
        <f>SUMIF(AA67:AA67,"=34787475",V67:V67)</f>
        <v>0</v>
      </c>
      <c r="AJ69" s="100">
        <f>ROUND(SUMIF(AA67:AA67,"=34787475",W67:W67),0)</f>
        <v>0</v>
      </c>
      <c r="AK69" s="100">
        <f>ROUND(SUMIF(AA67:AA67,"=34787475",X67:X67),0)</f>
        <v>0</v>
      </c>
      <c r="AL69" s="100">
        <f>ROUND(SUMIF(AA67:AA67,"=34787475",Y67:Y67),0)</f>
        <v>0</v>
      </c>
      <c r="AM69" s="100"/>
      <c r="AN69" s="100"/>
      <c r="AO69" s="100">
        <f>ROUND(BX69,0)</f>
        <v>0</v>
      </c>
      <c r="AP69" s="100">
        <f>ROUND(BY69,0)</f>
        <v>213805</v>
      </c>
      <c r="AQ69" s="100">
        <f>ROUND(BZ69,0)</f>
        <v>0</v>
      </c>
      <c r="AR69" s="100">
        <f>ROUND(CA69,0)</f>
        <v>213805</v>
      </c>
      <c r="AS69" s="100">
        <f>ROUND(CB69,0)</f>
        <v>0</v>
      </c>
      <c r="AT69" s="100">
        <f>ROUND(CC69,0)</f>
        <v>0</v>
      </c>
      <c r="AU69" s="100">
        <f>ROUND(CD69,0)</f>
        <v>0</v>
      </c>
      <c r="AV69" s="100">
        <f>ROUND(CE69,0)</f>
        <v>213805</v>
      </c>
      <c r="AW69" s="100">
        <f>ROUND(CF69,0)</f>
        <v>0</v>
      </c>
      <c r="AX69" s="100">
        <f>ROUND(CG69,0)</f>
        <v>0</v>
      </c>
      <c r="AY69" s="100">
        <f>ROUND(CH69,0)</f>
        <v>0</v>
      </c>
      <c r="AZ69" s="100">
        <f>ROUND(CI69,0)</f>
        <v>213805</v>
      </c>
      <c r="BA69" s="100">
        <f>ROUND(CJ69,0)</f>
        <v>0</v>
      </c>
      <c r="BB69" s="100">
        <f>ROUND(CK69,0)</f>
        <v>0</v>
      </c>
      <c r="BC69" s="100">
        <f>ROUND(CL69,0)</f>
        <v>0</v>
      </c>
      <c r="BD69" s="100">
        <f>ROUND(CM69,0)</f>
        <v>0</v>
      </c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>
        <f>ROUND(SUMIF(AA67:AA67,"=34787475",FQ67:FQ67),0)</f>
        <v>0</v>
      </c>
      <c r="BY69" s="100">
        <f>ROUND(SUMIF(AA67:AA67,"=34787475",FR67:FR67),0)</f>
        <v>213805</v>
      </c>
      <c r="BZ69" s="100">
        <f>ROUND(SUMIF(AA67:AA67,"=34787475",GL67:GL67),0)</f>
        <v>0</v>
      </c>
      <c r="CA69" s="100">
        <f>ROUND(SUMIF(AA67:AA67,"=34787475",GM67:GM67),0)</f>
        <v>213805</v>
      </c>
      <c r="CB69" s="100">
        <f>ROUND(SUMIF(AA67:AA67,"=34787475",GN67:GN67),0)</f>
        <v>0</v>
      </c>
      <c r="CC69" s="100">
        <f>ROUND(SUMIF(AA67:AA67,"=34787475",GO67:GO67),0)</f>
        <v>0</v>
      </c>
      <c r="CD69" s="100">
        <f>ROUND(SUMIF(AA67:AA67,"=34787475",GP67:GP67),0)</f>
        <v>0</v>
      </c>
      <c r="CE69" s="100">
        <f>AC69-BX69</f>
        <v>213805</v>
      </c>
      <c r="CF69" s="100">
        <f>AC69-BY69</f>
        <v>0</v>
      </c>
      <c r="CG69" s="100">
        <f>BX69-BZ69</f>
        <v>0</v>
      </c>
      <c r="CH69" s="100">
        <f>AC69-BX69-BY69+BZ69</f>
        <v>0</v>
      </c>
      <c r="CI69" s="100">
        <f>BY69-BZ69</f>
        <v>213805</v>
      </c>
      <c r="CJ69" s="100">
        <f>ROUND(SUMIF(AA67:AA67,"=34787475",GX67:GX67),0)</f>
        <v>0</v>
      </c>
      <c r="CK69" s="100">
        <f>ROUND(SUMIF(AA67:AA67,"=34787475",GY67:GY67),0)</f>
        <v>0</v>
      </c>
      <c r="CL69" s="100">
        <f>ROUND(SUMIF(AA67:AA67,"=34787475",GZ67:GZ67),0)</f>
        <v>0</v>
      </c>
      <c r="CM69" s="100">
        <f>ROUND(SUMIF(AA67:AA67,"=34787475",HD67:HD67),0)</f>
        <v>0</v>
      </c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0"/>
      <c r="DD69" s="100"/>
      <c r="DE69" s="100"/>
      <c r="DF69" s="100"/>
      <c r="DG69" s="98"/>
      <c r="DH69" s="98"/>
      <c r="DI69" s="98"/>
      <c r="DJ69" s="98"/>
      <c r="DK69" s="98"/>
      <c r="DL69" s="98"/>
      <c r="DM69" s="98"/>
      <c r="DN69" s="98"/>
      <c r="DO69" s="98"/>
      <c r="DP69" s="98"/>
      <c r="DQ69" s="98"/>
      <c r="DR69" s="98"/>
      <c r="DS69" s="98"/>
      <c r="DT69" s="98"/>
      <c r="DU69" s="98"/>
      <c r="DV69" s="98"/>
      <c r="DW69" s="98"/>
      <c r="DX69" s="98"/>
      <c r="DY69" s="98"/>
      <c r="DZ69" s="98"/>
      <c r="EA69" s="98"/>
      <c r="EB69" s="98"/>
      <c r="EC69" s="98"/>
      <c r="ED69" s="98"/>
      <c r="EE69" s="98"/>
      <c r="EF69" s="98"/>
      <c r="EG69" s="98"/>
      <c r="EH69" s="98"/>
      <c r="EI69" s="98"/>
      <c r="EJ69" s="98"/>
      <c r="EK69" s="98"/>
      <c r="EL69" s="98"/>
      <c r="EM69" s="98"/>
      <c r="EN69" s="98"/>
      <c r="EO69" s="98"/>
      <c r="EP69" s="98"/>
      <c r="EQ69" s="98"/>
      <c r="ER69" s="98"/>
      <c r="ES69" s="98"/>
      <c r="ET69" s="98"/>
      <c r="EU69" s="98"/>
      <c r="EV69" s="98"/>
      <c r="EW69" s="98"/>
      <c r="EX69" s="98"/>
      <c r="EY69" s="98"/>
      <c r="EZ69" s="98"/>
      <c r="FA69" s="98"/>
      <c r="FB69" s="98"/>
      <c r="FC69" s="98"/>
      <c r="FD69" s="98"/>
      <c r="FE69" s="98"/>
      <c r="FF69" s="98"/>
      <c r="FG69" s="98"/>
      <c r="FH69" s="98"/>
      <c r="FI69" s="98"/>
      <c r="FJ69" s="98"/>
      <c r="FK69" s="98"/>
      <c r="FL69" s="98"/>
      <c r="FM69" s="98"/>
      <c r="FN69" s="98"/>
      <c r="FO69" s="98"/>
      <c r="FP69" s="98"/>
      <c r="FQ69" s="98"/>
      <c r="FR69" s="98"/>
      <c r="FS69" s="98"/>
      <c r="FT69" s="98"/>
      <c r="FU69" s="98"/>
      <c r="FV69" s="98"/>
      <c r="FW69" s="98"/>
      <c r="FX69" s="98"/>
      <c r="FY69" s="98"/>
      <c r="FZ69" s="98"/>
      <c r="GA69" s="98"/>
      <c r="GB69" s="98"/>
      <c r="GC69" s="98"/>
      <c r="GD69" s="98"/>
      <c r="GE69" s="98"/>
      <c r="GF69" s="98"/>
      <c r="GG69" s="98"/>
      <c r="GH69" s="98"/>
      <c r="GI69" s="98"/>
      <c r="GJ69" s="98"/>
      <c r="GK69" s="98"/>
      <c r="GL69" s="98"/>
      <c r="GM69" s="98"/>
      <c r="GN69" s="98"/>
      <c r="GO69" s="98"/>
      <c r="GP69" s="98"/>
      <c r="GQ69" s="98"/>
      <c r="GR69" s="98"/>
      <c r="GS69" s="98"/>
      <c r="GT69" s="98"/>
      <c r="GU69" s="98"/>
      <c r="GV69" s="98"/>
      <c r="GW69" s="98"/>
      <c r="GX69" s="98">
        <v>0</v>
      </c>
    </row>
    <row r="71" spans="1:245" x14ac:dyDescent="0.2">
      <c r="A71" s="99">
        <v>50</v>
      </c>
      <c r="B71" s="99">
        <v>0</v>
      </c>
      <c r="C71" s="99">
        <v>0</v>
      </c>
      <c r="D71" s="99">
        <v>1</v>
      </c>
      <c r="E71" s="99">
        <v>201</v>
      </c>
      <c r="F71" s="99">
        <f>ROUND(Source!O69,O71)</f>
        <v>213805</v>
      </c>
      <c r="G71" s="99" t="s">
        <v>181</v>
      </c>
      <c r="H71" s="99" t="s">
        <v>13</v>
      </c>
      <c r="I71" s="99"/>
      <c r="J71" s="99"/>
      <c r="K71" s="99">
        <v>201</v>
      </c>
      <c r="L71" s="99">
        <v>1</v>
      </c>
      <c r="M71" s="99">
        <v>3</v>
      </c>
      <c r="N71" s="99" t="s">
        <v>74</v>
      </c>
      <c r="O71" s="99">
        <v>0</v>
      </c>
      <c r="P71" s="99"/>
      <c r="Q71" s="99"/>
      <c r="R71" s="99"/>
      <c r="S71" s="99"/>
      <c r="T71" s="99"/>
      <c r="U71" s="99"/>
      <c r="V71" s="99"/>
      <c r="W71" s="99">
        <v>0</v>
      </c>
      <c r="X71" s="99">
        <v>1</v>
      </c>
      <c r="Y71" s="99">
        <v>0</v>
      </c>
      <c r="Z71" s="99"/>
      <c r="AA71" s="99"/>
      <c r="AB71" s="99"/>
    </row>
    <row r="72" spans="1:245" x14ac:dyDescent="0.2">
      <c r="A72" s="99">
        <v>50</v>
      </c>
      <c r="B72" s="99">
        <v>0</v>
      </c>
      <c r="C72" s="99">
        <v>0</v>
      </c>
      <c r="D72" s="99">
        <v>1</v>
      </c>
      <c r="E72" s="99">
        <v>202</v>
      </c>
      <c r="F72" s="99">
        <f>ROUND(Source!P69,O72)</f>
        <v>213805</v>
      </c>
      <c r="G72" s="99" t="s">
        <v>180</v>
      </c>
      <c r="H72" s="99" t="s">
        <v>179</v>
      </c>
      <c r="I72" s="99"/>
      <c r="J72" s="99"/>
      <c r="K72" s="99">
        <v>202</v>
      </c>
      <c r="L72" s="99">
        <v>2</v>
      </c>
      <c r="M72" s="99">
        <v>3</v>
      </c>
      <c r="N72" s="99" t="s">
        <v>74</v>
      </c>
      <c r="O72" s="99">
        <v>0</v>
      </c>
      <c r="P72" s="99"/>
      <c r="Q72" s="99"/>
      <c r="R72" s="99"/>
      <c r="S72" s="99"/>
      <c r="T72" s="99"/>
      <c r="U72" s="99"/>
      <c r="V72" s="99"/>
      <c r="W72" s="99">
        <v>213805</v>
      </c>
      <c r="X72" s="99">
        <v>1</v>
      </c>
      <c r="Y72" s="99">
        <v>213805</v>
      </c>
      <c r="Z72" s="99"/>
      <c r="AA72" s="99"/>
      <c r="AB72" s="99"/>
    </row>
    <row r="73" spans="1:245" x14ac:dyDescent="0.2">
      <c r="A73" s="99">
        <v>50</v>
      </c>
      <c r="B73" s="99">
        <v>0</v>
      </c>
      <c r="C73" s="99">
        <v>0</v>
      </c>
      <c r="D73" s="99">
        <v>1</v>
      </c>
      <c r="E73" s="99">
        <v>222</v>
      </c>
      <c r="F73" s="99">
        <f>ROUND(Source!AO69,O73)</f>
        <v>0</v>
      </c>
      <c r="G73" s="99" t="s">
        <v>178</v>
      </c>
      <c r="H73" s="99" t="s">
        <v>177</v>
      </c>
      <c r="I73" s="99"/>
      <c r="J73" s="99"/>
      <c r="K73" s="99">
        <v>222</v>
      </c>
      <c r="L73" s="99">
        <v>3</v>
      </c>
      <c r="M73" s="99">
        <v>3</v>
      </c>
      <c r="N73" s="99" t="s">
        <v>74</v>
      </c>
      <c r="O73" s="99">
        <v>0</v>
      </c>
      <c r="P73" s="99"/>
      <c r="Q73" s="99"/>
      <c r="R73" s="99"/>
      <c r="S73" s="99"/>
      <c r="T73" s="99"/>
      <c r="U73" s="99"/>
      <c r="V73" s="99"/>
      <c r="W73" s="99">
        <v>0</v>
      </c>
      <c r="X73" s="99">
        <v>1</v>
      </c>
      <c r="Y73" s="99">
        <v>0</v>
      </c>
      <c r="Z73" s="99"/>
      <c r="AA73" s="99"/>
      <c r="AB73" s="99"/>
    </row>
    <row r="74" spans="1:245" x14ac:dyDescent="0.2">
      <c r="A74" s="99">
        <v>50</v>
      </c>
      <c r="B74" s="99">
        <v>0</v>
      </c>
      <c r="C74" s="99">
        <v>0</v>
      </c>
      <c r="D74" s="99">
        <v>1</v>
      </c>
      <c r="E74" s="99">
        <v>225</v>
      </c>
      <c r="F74" s="99">
        <f>ROUND(Source!AV69,O74)</f>
        <v>213805</v>
      </c>
      <c r="G74" s="99" t="s">
        <v>176</v>
      </c>
      <c r="H74" s="99" t="s">
        <v>175</v>
      </c>
      <c r="I74" s="99"/>
      <c r="J74" s="99"/>
      <c r="K74" s="99">
        <v>225</v>
      </c>
      <c r="L74" s="99">
        <v>4</v>
      </c>
      <c r="M74" s="99">
        <v>3</v>
      </c>
      <c r="N74" s="99" t="s">
        <v>74</v>
      </c>
      <c r="O74" s="99">
        <v>0</v>
      </c>
      <c r="P74" s="99"/>
      <c r="Q74" s="99"/>
      <c r="R74" s="99"/>
      <c r="S74" s="99"/>
      <c r="T74" s="99"/>
      <c r="U74" s="99"/>
      <c r="V74" s="99"/>
      <c r="W74" s="99">
        <v>213805</v>
      </c>
      <c r="X74" s="99">
        <v>1</v>
      </c>
      <c r="Y74" s="99">
        <v>213805</v>
      </c>
      <c r="Z74" s="99"/>
      <c r="AA74" s="99"/>
      <c r="AB74" s="99"/>
    </row>
    <row r="75" spans="1:245" x14ac:dyDescent="0.2">
      <c r="A75" s="99">
        <v>50</v>
      </c>
      <c r="B75" s="99">
        <v>0</v>
      </c>
      <c r="C75" s="99">
        <v>0</v>
      </c>
      <c r="D75" s="99">
        <v>1</v>
      </c>
      <c r="E75" s="99">
        <v>226</v>
      </c>
      <c r="F75" s="99">
        <f>ROUND(Source!AW69,O75)</f>
        <v>0</v>
      </c>
      <c r="G75" s="99" t="s">
        <v>174</v>
      </c>
      <c r="H75" s="99" t="s">
        <v>173</v>
      </c>
      <c r="I75" s="99"/>
      <c r="J75" s="99"/>
      <c r="K75" s="99">
        <v>226</v>
      </c>
      <c r="L75" s="99">
        <v>5</v>
      </c>
      <c r="M75" s="99">
        <v>3</v>
      </c>
      <c r="N75" s="99" t="s">
        <v>74</v>
      </c>
      <c r="O75" s="99">
        <v>0</v>
      </c>
      <c r="P75" s="99"/>
      <c r="Q75" s="99"/>
      <c r="R75" s="99"/>
      <c r="S75" s="99"/>
      <c r="T75" s="99"/>
      <c r="U75" s="99"/>
      <c r="V75" s="99"/>
      <c r="W75" s="99">
        <v>0</v>
      </c>
      <c r="X75" s="99">
        <v>1</v>
      </c>
      <c r="Y75" s="99">
        <v>0</v>
      </c>
      <c r="Z75" s="99"/>
      <c r="AA75" s="99"/>
      <c r="AB75" s="99"/>
    </row>
    <row r="76" spans="1:245" x14ac:dyDescent="0.2">
      <c r="A76" s="99">
        <v>50</v>
      </c>
      <c r="B76" s="99">
        <v>0</v>
      </c>
      <c r="C76" s="99">
        <v>0</v>
      </c>
      <c r="D76" s="99">
        <v>1</v>
      </c>
      <c r="E76" s="99">
        <v>227</v>
      </c>
      <c r="F76" s="99">
        <f>ROUND(Source!AX69,O76)</f>
        <v>0</v>
      </c>
      <c r="G76" s="99" t="s">
        <v>172</v>
      </c>
      <c r="H76" s="99" t="s">
        <v>171</v>
      </c>
      <c r="I76" s="99"/>
      <c r="J76" s="99"/>
      <c r="K76" s="99">
        <v>227</v>
      </c>
      <c r="L76" s="99">
        <v>6</v>
      </c>
      <c r="M76" s="99">
        <v>3</v>
      </c>
      <c r="N76" s="99" t="s">
        <v>74</v>
      </c>
      <c r="O76" s="99">
        <v>0</v>
      </c>
      <c r="P76" s="99"/>
      <c r="Q76" s="99"/>
      <c r="R76" s="99"/>
      <c r="S76" s="99"/>
      <c r="T76" s="99"/>
      <c r="U76" s="99"/>
      <c r="V76" s="99"/>
      <c r="W76" s="99">
        <v>0</v>
      </c>
      <c r="X76" s="99">
        <v>1</v>
      </c>
      <c r="Y76" s="99">
        <v>0</v>
      </c>
      <c r="Z76" s="99"/>
      <c r="AA76" s="99"/>
      <c r="AB76" s="99"/>
    </row>
    <row r="77" spans="1:245" x14ac:dyDescent="0.2">
      <c r="A77" s="99">
        <v>50</v>
      </c>
      <c r="B77" s="99">
        <v>0</v>
      </c>
      <c r="C77" s="99">
        <v>0</v>
      </c>
      <c r="D77" s="99">
        <v>1</v>
      </c>
      <c r="E77" s="99">
        <v>228</v>
      </c>
      <c r="F77" s="99">
        <f>ROUND(Source!AY69,O77)</f>
        <v>0</v>
      </c>
      <c r="G77" s="99" t="s">
        <v>170</v>
      </c>
      <c r="H77" s="99" t="s">
        <v>169</v>
      </c>
      <c r="I77" s="99"/>
      <c r="J77" s="99"/>
      <c r="K77" s="99">
        <v>228</v>
      </c>
      <c r="L77" s="99">
        <v>7</v>
      </c>
      <c r="M77" s="99">
        <v>3</v>
      </c>
      <c r="N77" s="99" t="s">
        <v>74</v>
      </c>
      <c r="O77" s="99">
        <v>0</v>
      </c>
      <c r="P77" s="99"/>
      <c r="Q77" s="99"/>
      <c r="R77" s="99"/>
      <c r="S77" s="99"/>
      <c r="T77" s="99"/>
      <c r="U77" s="99"/>
      <c r="V77" s="99"/>
      <c r="W77" s="99">
        <v>0</v>
      </c>
      <c r="X77" s="99">
        <v>1</v>
      </c>
      <c r="Y77" s="99">
        <v>0</v>
      </c>
      <c r="Z77" s="99"/>
      <c r="AA77" s="99"/>
      <c r="AB77" s="99"/>
    </row>
    <row r="78" spans="1:245" x14ac:dyDescent="0.2">
      <c r="A78" s="99">
        <v>50</v>
      </c>
      <c r="B78" s="99">
        <v>0</v>
      </c>
      <c r="C78" s="99">
        <v>0</v>
      </c>
      <c r="D78" s="99">
        <v>1</v>
      </c>
      <c r="E78" s="99">
        <v>216</v>
      </c>
      <c r="F78" s="99">
        <f>ROUND(Source!AP69,O78)</f>
        <v>213805</v>
      </c>
      <c r="G78" s="99" t="s">
        <v>168</v>
      </c>
      <c r="H78" s="99" t="s">
        <v>167</v>
      </c>
      <c r="I78" s="99"/>
      <c r="J78" s="99"/>
      <c r="K78" s="99">
        <v>216</v>
      </c>
      <c r="L78" s="99">
        <v>8</v>
      </c>
      <c r="M78" s="99">
        <v>3</v>
      </c>
      <c r="N78" s="99" t="s">
        <v>74</v>
      </c>
      <c r="O78" s="99">
        <v>0</v>
      </c>
      <c r="P78" s="99"/>
      <c r="Q78" s="99"/>
      <c r="R78" s="99"/>
      <c r="S78" s="99"/>
      <c r="T78" s="99"/>
      <c r="U78" s="99"/>
      <c r="V78" s="99"/>
      <c r="W78" s="99">
        <v>213805</v>
      </c>
      <c r="X78" s="99">
        <v>1</v>
      </c>
      <c r="Y78" s="99">
        <v>213805</v>
      </c>
      <c r="Z78" s="99"/>
      <c r="AA78" s="99"/>
      <c r="AB78" s="99"/>
    </row>
    <row r="79" spans="1:245" x14ac:dyDescent="0.2">
      <c r="A79" s="99">
        <v>50</v>
      </c>
      <c r="B79" s="99">
        <v>0</v>
      </c>
      <c r="C79" s="99">
        <v>0</v>
      </c>
      <c r="D79" s="99">
        <v>1</v>
      </c>
      <c r="E79" s="99">
        <v>223</v>
      </c>
      <c r="F79" s="99">
        <f>ROUND(Source!AQ69,O79)</f>
        <v>0</v>
      </c>
      <c r="G79" s="99" t="s">
        <v>166</v>
      </c>
      <c r="H79" s="99" t="s">
        <v>165</v>
      </c>
      <c r="I79" s="99"/>
      <c r="J79" s="99"/>
      <c r="K79" s="99">
        <v>223</v>
      </c>
      <c r="L79" s="99">
        <v>9</v>
      </c>
      <c r="M79" s="99">
        <v>3</v>
      </c>
      <c r="N79" s="99" t="s">
        <v>74</v>
      </c>
      <c r="O79" s="99">
        <v>0</v>
      </c>
      <c r="P79" s="99"/>
      <c r="Q79" s="99"/>
      <c r="R79" s="99"/>
      <c r="S79" s="99"/>
      <c r="T79" s="99"/>
      <c r="U79" s="99"/>
      <c r="V79" s="99"/>
      <c r="W79" s="99">
        <v>0</v>
      </c>
      <c r="X79" s="99">
        <v>1</v>
      </c>
      <c r="Y79" s="99">
        <v>0</v>
      </c>
      <c r="Z79" s="99"/>
      <c r="AA79" s="99"/>
      <c r="AB79" s="99"/>
    </row>
    <row r="80" spans="1:245" x14ac:dyDescent="0.2">
      <c r="A80" s="99">
        <v>50</v>
      </c>
      <c r="B80" s="99">
        <v>0</v>
      </c>
      <c r="C80" s="99">
        <v>0</v>
      </c>
      <c r="D80" s="99">
        <v>1</v>
      </c>
      <c r="E80" s="99">
        <v>229</v>
      </c>
      <c r="F80" s="99">
        <f>ROUND(Source!AZ69,O80)</f>
        <v>213805</v>
      </c>
      <c r="G80" s="99" t="s">
        <v>164</v>
      </c>
      <c r="H80" s="99" t="s">
        <v>163</v>
      </c>
      <c r="I80" s="99"/>
      <c r="J80" s="99"/>
      <c r="K80" s="99">
        <v>229</v>
      </c>
      <c r="L80" s="99">
        <v>10</v>
      </c>
      <c r="M80" s="99">
        <v>3</v>
      </c>
      <c r="N80" s="99" t="s">
        <v>74</v>
      </c>
      <c r="O80" s="99">
        <v>0</v>
      </c>
      <c r="P80" s="99"/>
      <c r="Q80" s="99"/>
      <c r="R80" s="99"/>
      <c r="S80" s="99"/>
      <c r="T80" s="99"/>
      <c r="U80" s="99"/>
      <c r="V80" s="99"/>
      <c r="W80" s="99">
        <v>213805</v>
      </c>
      <c r="X80" s="99">
        <v>1</v>
      </c>
      <c r="Y80" s="99">
        <v>213805</v>
      </c>
      <c r="Z80" s="99"/>
      <c r="AA80" s="99"/>
      <c r="AB80" s="99"/>
    </row>
    <row r="81" spans="1:28" x14ac:dyDescent="0.2">
      <c r="A81" s="99">
        <v>50</v>
      </c>
      <c r="B81" s="99">
        <v>0</v>
      </c>
      <c r="C81" s="99">
        <v>0</v>
      </c>
      <c r="D81" s="99">
        <v>1</v>
      </c>
      <c r="E81" s="99">
        <v>203</v>
      </c>
      <c r="F81" s="99">
        <f>ROUND(Source!Q69,O81)</f>
        <v>0</v>
      </c>
      <c r="G81" s="99" t="s">
        <v>162</v>
      </c>
      <c r="H81" s="99" t="s">
        <v>44</v>
      </c>
      <c r="I81" s="99"/>
      <c r="J81" s="99"/>
      <c r="K81" s="99">
        <v>203</v>
      </c>
      <c r="L81" s="99">
        <v>11</v>
      </c>
      <c r="M81" s="99">
        <v>3</v>
      </c>
      <c r="N81" s="99" t="s">
        <v>74</v>
      </c>
      <c r="O81" s="99">
        <v>0</v>
      </c>
      <c r="P81" s="99"/>
      <c r="Q81" s="99"/>
      <c r="R81" s="99"/>
      <c r="S81" s="99"/>
      <c r="T81" s="99"/>
      <c r="U81" s="99"/>
      <c r="V81" s="99"/>
      <c r="W81" s="99">
        <v>0</v>
      </c>
      <c r="X81" s="99">
        <v>1</v>
      </c>
      <c r="Y81" s="99">
        <v>0</v>
      </c>
      <c r="Z81" s="99"/>
      <c r="AA81" s="99"/>
      <c r="AB81" s="99"/>
    </row>
    <row r="82" spans="1:28" x14ac:dyDescent="0.2">
      <c r="A82" s="99">
        <v>50</v>
      </c>
      <c r="B82" s="99">
        <v>0</v>
      </c>
      <c r="C82" s="99">
        <v>0</v>
      </c>
      <c r="D82" s="99">
        <v>1</v>
      </c>
      <c r="E82" s="99">
        <v>231</v>
      </c>
      <c r="F82" s="99">
        <f>ROUND(Source!BB69,O82)</f>
        <v>0</v>
      </c>
      <c r="G82" s="99" t="s">
        <v>161</v>
      </c>
      <c r="H82" s="99" t="s">
        <v>160</v>
      </c>
      <c r="I82" s="99"/>
      <c r="J82" s="99"/>
      <c r="K82" s="99">
        <v>231</v>
      </c>
      <c r="L82" s="99">
        <v>12</v>
      </c>
      <c r="M82" s="99">
        <v>3</v>
      </c>
      <c r="N82" s="99" t="s">
        <v>74</v>
      </c>
      <c r="O82" s="99">
        <v>0</v>
      </c>
      <c r="P82" s="99"/>
      <c r="Q82" s="99"/>
      <c r="R82" s="99"/>
      <c r="S82" s="99"/>
      <c r="T82" s="99"/>
      <c r="U82" s="99"/>
      <c r="V82" s="99"/>
      <c r="W82" s="99">
        <v>0</v>
      </c>
      <c r="X82" s="99">
        <v>1</v>
      </c>
      <c r="Y82" s="99">
        <v>0</v>
      </c>
      <c r="Z82" s="99"/>
      <c r="AA82" s="99"/>
      <c r="AB82" s="99"/>
    </row>
    <row r="83" spans="1:28" x14ac:dyDescent="0.2">
      <c r="A83" s="99">
        <v>50</v>
      </c>
      <c r="B83" s="99">
        <v>0</v>
      </c>
      <c r="C83" s="99">
        <v>0</v>
      </c>
      <c r="D83" s="99">
        <v>1</v>
      </c>
      <c r="E83" s="99">
        <v>204</v>
      </c>
      <c r="F83" s="99">
        <f>ROUND(Source!R69,O83)</f>
        <v>0</v>
      </c>
      <c r="G83" s="99" t="s">
        <v>159</v>
      </c>
      <c r="H83" s="99" t="s">
        <v>158</v>
      </c>
      <c r="I83" s="99"/>
      <c r="J83" s="99"/>
      <c r="K83" s="99">
        <v>204</v>
      </c>
      <c r="L83" s="99">
        <v>13</v>
      </c>
      <c r="M83" s="99">
        <v>3</v>
      </c>
      <c r="N83" s="99" t="s">
        <v>74</v>
      </c>
      <c r="O83" s="99">
        <v>0</v>
      </c>
      <c r="P83" s="99"/>
      <c r="Q83" s="99"/>
      <c r="R83" s="99"/>
      <c r="S83" s="99"/>
      <c r="T83" s="99"/>
      <c r="U83" s="99"/>
      <c r="V83" s="99"/>
      <c r="W83" s="99">
        <v>0</v>
      </c>
      <c r="X83" s="99">
        <v>1</v>
      </c>
      <c r="Y83" s="99">
        <v>0</v>
      </c>
      <c r="Z83" s="99"/>
      <c r="AA83" s="99"/>
      <c r="AB83" s="99"/>
    </row>
    <row r="84" spans="1:28" x14ac:dyDescent="0.2">
      <c r="A84" s="99">
        <v>50</v>
      </c>
      <c r="B84" s="99">
        <v>0</v>
      </c>
      <c r="C84" s="99">
        <v>0</v>
      </c>
      <c r="D84" s="99">
        <v>1</v>
      </c>
      <c r="E84" s="99">
        <v>205</v>
      </c>
      <c r="F84" s="99">
        <f>ROUND(Source!S69,O84)</f>
        <v>0</v>
      </c>
      <c r="G84" s="99" t="s">
        <v>157</v>
      </c>
      <c r="H84" s="99" t="s">
        <v>156</v>
      </c>
      <c r="I84" s="99"/>
      <c r="J84" s="99"/>
      <c r="K84" s="99">
        <v>205</v>
      </c>
      <c r="L84" s="99">
        <v>14</v>
      </c>
      <c r="M84" s="99">
        <v>3</v>
      </c>
      <c r="N84" s="99" t="s">
        <v>74</v>
      </c>
      <c r="O84" s="99">
        <v>0</v>
      </c>
      <c r="P84" s="99"/>
      <c r="Q84" s="99"/>
      <c r="R84" s="99"/>
      <c r="S84" s="99"/>
      <c r="T84" s="99"/>
      <c r="U84" s="99"/>
      <c r="V84" s="99"/>
      <c r="W84" s="99">
        <v>0</v>
      </c>
      <c r="X84" s="99">
        <v>1</v>
      </c>
      <c r="Y84" s="99">
        <v>0</v>
      </c>
      <c r="Z84" s="99"/>
      <c r="AA84" s="99"/>
      <c r="AB84" s="99"/>
    </row>
    <row r="85" spans="1:28" x14ac:dyDescent="0.2">
      <c r="A85" s="99">
        <v>50</v>
      </c>
      <c r="B85" s="99">
        <v>0</v>
      </c>
      <c r="C85" s="99">
        <v>0</v>
      </c>
      <c r="D85" s="99">
        <v>1</v>
      </c>
      <c r="E85" s="99">
        <v>232</v>
      </c>
      <c r="F85" s="99">
        <f>ROUND(Source!BC69,O85)</f>
        <v>0</v>
      </c>
      <c r="G85" s="99" t="s">
        <v>155</v>
      </c>
      <c r="H85" s="99" t="s">
        <v>154</v>
      </c>
      <c r="I85" s="99"/>
      <c r="J85" s="99"/>
      <c r="K85" s="99">
        <v>232</v>
      </c>
      <c r="L85" s="99">
        <v>15</v>
      </c>
      <c r="M85" s="99">
        <v>3</v>
      </c>
      <c r="N85" s="99" t="s">
        <v>74</v>
      </c>
      <c r="O85" s="99">
        <v>0</v>
      </c>
      <c r="P85" s="99"/>
      <c r="Q85" s="99"/>
      <c r="R85" s="99"/>
      <c r="S85" s="99"/>
      <c r="T85" s="99"/>
      <c r="U85" s="99"/>
      <c r="V85" s="99"/>
      <c r="W85" s="99">
        <v>0</v>
      </c>
      <c r="X85" s="99">
        <v>1</v>
      </c>
      <c r="Y85" s="99">
        <v>0</v>
      </c>
      <c r="Z85" s="99"/>
      <c r="AA85" s="99"/>
      <c r="AB85" s="99"/>
    </row>
    <row r="86" spans="1:28" x14ac:dyDescent="0.2">
      <c r="A86" s="99">
        <v>50</v>
      </c>
      <c r="B86" s="99">
        <v>0</v>
      </c>
      <c r="C86" s="99">
        <v>0</v>
      </c>
      <c r="D86" s="99">
        <v>1</v>
      </c>
      <c r="E86" s="99">
        <v>214</v>
      </c>
      <c r="F86" s="99">
        <f>ROUND(Source!AS69,O86)</f>
        <v>0</v>
      </c>
      <c r="G86" s="99" t="s">
        <v>153</v>
      </c>
      <c r="H86" s="99" t="s">
        <v>152</v>
      </c>
      <c r="I86" s="99"/>
      <c r="J86" s="99"/>
      <c r="K86" s="99">
        <v>214</v>
      </c>
      <c r="L86" s="99">
        <v>16</v>
      </c>
      <c r="M86" s="99">
        <v>3</v>
      </c>
      <c r="N86" s="99" t="s">
        <v>74</v>
      </c>
      <c r="O86" s="99">
        <v>0</v>
      </c>
      <c r="P86" s="99"/>
      <c r="Q86" s="99"/>
      <c r="R86" s="99"/>
      <c r="S86" s="99"/>
      <c r="T86" s="99"/>
      <c r="U86" s="99"/>
      <c r="V86" s="99"/>
      <c r="W86" s="99">
        <v>0</v>
      </c>
      <c r="X86" s="99">
        <v>1</v>
      </c>
      <c r="Y86" s="99">
        <v>0</v>
      </c>
      <c r="Z86" s="99"/>
      <c r="AA86" s="99"/>
      <c r="AB86" s="99"/>
    </row>
    <row r="87" spans="1:28" x14ac:dyDescent="0.2">
      <c r="A87" s="99">
        <v>50</v>
      </c>
      <c r="B87" s="99">
        <v>0</v>
      </c>
      <c r="C87" s="99">
        <v>0</v>
      </c>
      <c r="D87" s="99">
        <v>1</v>
      </c>
      <c r="E87" s="99">
        <v>215</v>
      </c>
      <c r="F87" s="99">
        <f>ROUND(Source!AT69,O87)</f>
        <v>0</v>
      </c>
      <c r="G87" s="99" t="s">
        <v>151</v>
      </c>
      <c r="H87" s="99" t="s">
        <v>150</v>
      </c>
      <c r="I87" s="99"/>
      <c r="J87" s="99"/>
      <c r="K87" s="99">
        <v>215</v>
      </c>
      <c r="L87" s="99">
        <v>17</v>
      </c>
      <c r="M87" s="99">
        <v>3</v>
      </c>
      <c r="N87" s="99" t="s">
        <v>74</v>
      </c>
      <c r="O87" s="99">
        <v>0</v>
      </c>
      <c r="P87" s="99"/>
      <c r="Q87" s="99"/>
      <c r="R87" s="99"/>
      <c r="S87" s="99"/>
      <c r="T87" s="99"/>
      <c r="U87" s="99"/>
      <c r="V87" s="99"/>
      <c r="W87" s="99">
        <v>0</v>
      </c>
      <c r="X87" s="99">
        <v>1</v>
      </c>
      <c r="Y87" s="99">
        <v>0</v>
      </c>
      <c r="Z87" s="99"/>
      <c r="AA87" s="99"/>
      <c r="AB87" s="99"/>
    </row>
    <row r="88" spans="1:28" x14ac:dyDescent="0.2">
      <c r="A88" s="99">
        <v>50</v>
      </c>
      <c r="B88" s="99">
        <v>0</v>
      </c>
      <c r="C88" s="99">
        <v>0</v>
      </c>
      <c r="D88" s="99">
        <v>1</v>
      </c>
      <c r="E88" s="99">
        <v>217</v>
      </c>
      <c r="F88" s="99">
        <f>ROUND(Source!AU69,O88)</f>
        <v>0</v>
      </c>
      <c r="G88" s="99" t="s">
        <v>149</v>
      </c>
      <c r="H88" s="99" t="s">
        <v>148</v>
      </c>
      <c r="I88" s="99"/>
      <c r="J88" s="99"/>
      <c r="K88" s="99">
        <v>217</v>
      </c>
      <c r="L88" s="99">
        <v>18</v>
      </c>
      <c r="M88" s="99">
        <v>3</v>
      </c>
      <c r="N88" s="99" t="s">
        <v>74</v>
      </c>
      <c r="O88" s="99">
        <v>0</v>
      </c>
      <c r="P88" s="99"/>
      <c r="Q88" s="99"/>
      <c r="R88" s="99"/>
      <c r="S88" s="99"/>
      <c r="T88" s="99"/>
      <c r="U88" s="99"/>
      <c r="V88" s="99"/>
      <c r="W88" s="99">
        <v>0</v>
      </c>
      <c r="X88" s="99">
        <v>1</v>
      </c>
      <c r="Y88" s="99">
        <v>0</v>
      </c>
      <c r="Z88" s="99"/>
      <c r="AA88" s="99"/>
      <c r="AB88" s="99"/>
    </row>
    <row r="89" spans="1:28" x14ac:dyDescent="0.2">
      <c r="A89" s="99">
        <v>50</v>
      </c>
      <c r="B89" s="99">
        <v>0</v>
      </c>
      <c r="C89" s="99">
        <v>0</v>
      </c>
      <c r="D89" s="99">
        <v>1</v>
      </c>
      <c r="E89" s="99">
        <v>230</v>
      </c>
      <c r="F89" s="99">
        <f>ROUND(Source!BA69,O89)</f>
        <v>0</v>
      </c>
      <c r="G89" s="99" t="s">
        <v>147</v>
      </c>
      <c r="H89" s="99" t="s">
        <v>146</v>
      </c>
      <c r="I89" s="99"/>
      <c r="J89" s="99"/>
      <c r="K89" s="99">
        <v>230</v>
      </c>
      <c r="L89" s="99">
        <v>19</v>
      </c>
      <c r="M89" s="99">
        <v>3</v>
      </c>
      <c r="N89" s="99" t="s">
        <v>74</v>
      </c>
      <c r="O89" s="99">
        <v>0</v>
      </c>
      <c r="P89" s="99"/>
      <c r="Q89" s="99"/>
      <c r="R89" s="99"/>
      <c r="S89" s="99"/>
      <c r="T89" s="99"/>
      <c r="U89" s="99"/>
      <c r="V89" s="99"/>
      <c r="W89" s="99">
        <v>0</v>
      </c>
      <c r="X89" s="99">
        <v>1</v>
      </c>
      <c r="Y89" s="99">
        <v>0</v>
      </c>
      <c r="Z89" s="99"/>
      <c r="AA89" s="99"/>
      <c r="AB89" s="99"/>
    </row>
    <row r="90" spans="1:28" x14ac:dyDescent="0.2">
      <c r="A90" s="99">
        <v>50</v>
      </c>
      <c r="B90" s="99">
        <v>0</v>
      </c>
      <c r="C90" s="99">
        <v>0</v>
      </c>
      <c r="D90" s="99">
        <v>1</v>
      </c>
      <c r="E90" s="99">
        <v>206</v>
      </c>
      <c r="F90" s="99">
        <f>ROUND(Source!T69,O90)</f>
        <v>0</v>
      </c>
      <c r="G90" s="99" t="s">
        <v>145</v>
      </c>
      <c r="H90" s="99" t="s">
        <v>60</v>
      </c>
      <c r="I90" s="99"/>
      <c r="J90" s="99"/>
      <c r="K90" s="99">
        <v>206</v>
      </c>
      <c r="L90" s="99">
        <v>20</v>
      </c>
      <c r="M90" s="99">
        <v>3</v>
      </c>
      <c r="N90" s="99" t="s">
        <v>74</v>
      </c>
      <c r="O90" s="99">
        <v>0</v>
      </c>
      <c r="P90" s="99"/>
      <c r="Q90" s="99"/>
      <c r="R90" s="99"/>
      <c r="S90" s="99"/>
      <c r="T90" s="99"/>
      <c r="U90" s="99"/>
      <c r="V90" s="99"/>
      <c r="W90" s="99">
        <v>0</v>
      </c>
      <c r="X90" s="99">
        <v>1</v>
      </c>
      <c r="Y90" s="99">
        <v>0</v>
      </c>
      <c r="Z90" s="99"/>
      <c r="AA90" s="99"/>
      <c r="AB90" s="99"/>
    </row>
    <row r="91" spans="1:28" x14ac:dyDescent="0.2">
      <c r="A91" s="99">
        <v>50</v>
      </c>
      <c r="B91" s="99">
        <v>0</v>
      </c>
      <c r="C91" s="99">
        <v>0</v>
      </c>
      <c r="D91" s="99">
        <v>1</v>
      </c>
      <c r="E91" s="99">
        <v>207</v>
      </c>
      <c r="F91" s="99">
        <f>Source!U69</f>
        <v>0</v>
      </c>
      <c r="G91" s="99" t="s">
        <v>144</v>
      </c>
      <c r="H91" s="99" t="s">
        <v>143</v>
      </c>
      <c r="I91" s="99"/>
      <c r="J91" s="99"/>
      <c r="K91" s="99">
        <v>207</v>
      </c>
      <c r="L91" s="99">
        <v>21</v>
      </c>
      <c r="M91" s="99">
        <v>3</v>
      </c>
      <c r="N91" s="99" t="s">
        <v>74</v>
      </c>
      <c r="O91" s="99">
        <v>-1</v>
      </c>
      <c r="P91" s="99"/>
      <c r="Q91" s="99"/>
      <c r="R91" s="99"/>
      <c r="S91" s="99"/>
      <c r="T91" s="99"/>
      <c r="U91" s="99"/>
      <c r="V91" s="99"/>
      <c r="W91" s="99">
        <v>0</v>
      </c>
      <c r="X91" s="99">
        <v>1</v>
      </c>
      <c r="Y91" s="99">
        <v>0</v>
      </c>
      <c r="Z91" s="99"/>
      <c r="AA91" s="99"/>
      <c r="AB91" s="99"/>
    </row>
    <row r="92" spans="1:28" x14ac:dyDescent="0.2">
      <c r="A92" s="99">
        <v>50</v>
      </c>
      <c r="B92" s="99">
        <v>0</v>
      </c>
      <c r="C92" s="99">
        <v>0</v>
      </c>
      <c r="D92" s="99">
        <v>1</v>
      </c>
      <c r="E92" s="99">
        <v>208</v>
      </c>
      <c r="F92" s="99">
        <f>Source!V69</f>
        <v>0</v>
      </c>
      <c r="G92" s="99" t="s">
        <v>142</v>
      </c>
      <c r="H92" s="99" t="s">
        <v>141</v>
      </c>
      <c r="I92" s="99"/>
      <c r="J92" s="99"/>
      <c r="K92" s="99">
        <v>208</v>
      </c>
      <c r="L92" s="99">
        <v>22</v>
      </c>
      <c r="M92" s="99">
        <v>3</v>
      </c>
      <c r="N92" s="99" t="s">
        <v>74</v>
      </c>
      <c r="O92" s="99">
        <v>-1</v>
      </c>
      <c r="P92" s="99"/>
      <c r="Q92" s="99"/>
      <c r="R92" s="99"/>
      <c r="S92" s="99"/>
      <c r="T92" s="99"/>
      <c r="U92" s="99"/>
      <c r="V92" s="99"/>
      <c r="W92" s="99">
        <v>0</v>
      </c>
      <c r="X92" s="99">
        <v>1</v>
      </c>
      <c r="Y92" s="99">
        <v>0</v>
      </c>
      <c r="Z92" s="99"/>
      <c r="AA92" s="99"/>
      <c r="AB92" s="99"/>
    </row>
    <row r="93" spans="1:28" x14ac:dyDescent="0.2">
      <c r="A93" s="99">
        <v>50</v>
      </c>
      <c r="B93" s="99">
        <v>0</v>
      </c>
      <c r="C93" s="99">
        <v>0</v>
      </c>
      <c r="D93" s="99">
        <v>1</v>
      </c>
      <c r="E93" s="99">
        <v>209</v>
      </c>
      <c r="F93" s="99">
        <f>ROUND(Source!W69,O93)</f>
        <v>0</v>
      </c>
      <c r="G93" s="99" t="s">
        <v>140</v>
      </c>
      <c r="H93" s="99" t="s">
        <v>139</v>
      </c>
      <c r="I93" s="99"/>
      <c r="J93" s="99"/>
      <c r="K93" s="99">
        <v>209</v>
      </c>
      <c r="L93" s="99">
        <v>23</v>
      </c>
      <c r="M93" s="99">
        <v>3</v>
      </c>
      <c r="N93" s="99" t="s">
        <v>74</v>
      </c>
      <c r="O93" s="99">
        <v>0</v>
      </c>
      <c r="P93" s="99"/>
      <c r="Q93" s="99"/>
      <c r="R93" s="99"/>
      <c r="S93" s="99"/>
      <c r="T93" s="99"/>
      <c r="U93" s="99"/>
      <c r="V93" s="99"/>
      <c r="W93" s="99">
        <v>0</v>
      </c>
      <c r="X93" s="99">
        <v>1</v>
      </c>
      <c r="Y93" s="99">
        <v>0</v>
      </c>
      <c r="Z93" s="99"/>
      <c r="AA93" s="99"/>
      <c r="AB93" s="99"/>
    </row>
    <row r="94" spans="1:28" x14ac:dyDescent="0.2">
      <c r="A94" s="99">
        <v>50</v>
      </c>
      <c r="B94" s="99">
        <v>0</v>
      </c>
      <c r="C94" s="99">
        <v>0</v>
      </c>
      <c r="D94" s="99">
        <v>1</v>
      </c>
      <c r="E94" s="99">
        <v>233</v>
      </c>
      <c r="F94" s="99">
        <f>ROUND(Source!BD69,O94)</f>
        <v>0</v>
      </c>
      <c r="G94" s="99" t="s">
        <v>138</v>
      </c>
      <c r="H94" s="99" t="s">
        <v>137</v>
      </c>
      <c r="I94" s="99"/>
      <c r="J94" s="99"/>
      <c r="K94" s="99">
        <v>233</v>
      </c>
      <c r="L94" s="99">
        <v>24</v>
      </c>
      <c r="M94" s="99">
        <v>3</v>
      </c>
      <c r="N94" s="99" t="s">
        <v>74</v>
      </c>
      <c r="O94" s="99">
        <v>0</v>
      </c>
      <c r="P94" s="99"/>
      <c r="Q94" s="99"/>
      <c r="R94" s="99"/>
      <c r="S94" s="99"/>
      <c r="T94" s="99"/>
      <c r="U94" s="99"/>
      <c r="V94" s="99"/>
      <c r="W94" s="99">
        <v>0</v>
      </c>
      <c r="X94" s="99">
        <v>1</v>
      </c>
      <c r="Y94" s="99">
        <v>0</v>
      </c>
      <c r="Z94" s="99"/>
      <c r="AA94" s="99"/>
      <c r="AB94" s="99"/>
    </row>
    <row r="95" spans="1:28" x14ac:dyDescent="0.2">
      <c r="A95" s="99">
        <v>50</v>
      </c>
      <c r="B95" s="99">
        <v>0</v>
      </c>
      <c r="C95" s="99">
        <v>0</v>
      </c>
      <c r="D95" s="99">
        <v>1</v>
      </c>
      <c r="E95" s="99">
        <v>210</v>
      </c>
      <c r="F95" s="99">
        <f>ROUND(Source!X69,O95)</f>
        <v>0</v>
      </c>
      <c r="G95" s="99" t="s">
        <v>136</v>
      </c>
      <c r="H95" s="99" t="s">
        <v>135</v>
      </c>
      <c r="I95" s="99"/>
      <c r="J95" s="99"/>
      <c r="K95" s="99">
        <v>210</v>
      </c>
      <c r="L95" s="99">
        <v>25</v>
      </c>
      <c r="M95" s="99">
        <v>3</v>
      </c>
      <c r="N95" s="99" t="s">
        <v>74</v>
      </c>
      <c r="O95" s="99">
        <v>0</v>
      </c>
      <c r="P95" s="99"/>
      <c r="Q95" s="99"/>
      <c r="R95" s="99"/>
      <c r="S95" s="99"/>
      <c r="T95" s="99"/>
      <c r="U95" s="99"/>
      <c r="V95" s="99"/>
      <c r="W95" s="99">
        <v>0</v>
      </c>
      <c r="X95" s="99">
        <v>1</v>
      </c>
      <c r="Y95" s="99">
        <v>0</v>
      </c>
      <c r="Z95" s="99"/>
      <c r="AA95" s="99"/>
      <c r="AB95" s="99"/>
    </row>
    <row r="96" spans="1:28" x14ac:dyDescent="0.2">
      <c r="A96" s="99">
        <v>50</v>
      </c>
      <c r="B96" s="99">
        <v>0</v>
      </c>
      <c r="C96" s="99">
        <v>0</v>
      </c>
      <c r="D96" s="99">
        <v>1</v>
      </c>
      <c r="E96" s="99">
        <v>211</v>
      </c>
      <c r="F96" s="99">
        <f>ROUND(Source!Y69,O96)</f>
        <v>0</v>
      </c>
      <c r="G96" s="99" t="s">
        <v>134</v>
      </c>
      <c r="H96" s="99" t="s">
        <v>133</v>
      </c>
      <c r="I96" s="99"/>
      <c r="J96" s="99"/>
      <c r="K96" s="99">
        <v>211</v>
      </c>
      <c r="L96" s="99">
        <v>26</v>
      </c>
      <c r="M96" s="99">
        <v>3</v>
      </c>
      <c r="N96" s="99" t="s">
        <v>74</v>
      </c>
      <c r="O96" s="99">
        <v>0</v>
      </c>
      <c r="P96" s="99"/>
      <c r="Q96" s="99"/>
      <c r="R96" s="99"/>
      <c r="S96" s="99"/>
      <c r="T96" s="99"/>
      <c r="U96" s="99"/>
      <c r="V96" s="99"/>
      <c r="W96" s="99">
        <v>0</v>
      </c>
      <c r="X96" s="99">
        <v>1</v>
      </c>
      <c r="Y96" s="99">
        <v>0</v>
      </c>
      <c r="Z96" s="99"/>
      <c r="AA96" s="99"/>
      <c r="AB96" s="99"/>
    </row>
    <row r="97" spans="1:245" x14ac:dyDescent="0.2">
      <c r="A97" s="99">
        <v>50</v>
      </c>
      <c r="B97" s="99">
        <v>0</v>
      </c>
      <c r="C97" s="99">
        <v>0</v>
      </c>
      <c r="D97" s="99">
        <v>1</v>
      </c>
      <c r="E97" s="99">
        <v>224</v>
      </c>
      <c r="F97" s="99">
        <f>ROUND(Source!AR69,O97)</f>
        <v>213805</v>
      </c>
      <c r="G97" s="99" t="s">
        <v>132</v>
      </c>
      <c r="H97" s="99" t="s">
        <v>131</v>
      </c>
      <c r="I97" s="99"/>
      <c r="J97" s="99"/>
      <c r="K97" s="99">
        <v>224</v>
      </c>
      <c r="L97" s="99">
        <v>27</v>
      </c>
      <c r="M97" s="99">
        <v>3</v>
      </c>
      <c r="N97" s="99" t="s">
        <v>74</v>
      </c>
      <c r="O97" s="99">
        <v>0</v>
      </c>
      <c r="P97" s="99"/>
      <c r="Q97" s="99"/>
      <c r="R97" s="99"/>
      <c r="S97" s="99"/>
      <c r="T97" s="99"/>
      <c r="U97" s="99"/>
      <c r="V97" s="99"/>
      <c r="W97" s="99">
        <v>213805</v>
      </c>
      <c r="X97" s="99">
        <v>1</v>
      </c>
      <c r="Y97" s="99">
        <v>213805</v>
      </c>
      <c r="Z97" s="99"/>
      <c r="AA97" s="99"/>
      <c r="AB97" s="99"/>
    </row>
    <row r="99" spans="1:245" x14ac:dyDescent="0.2">
      <c r="A99" s="101">
        <v>4</v>
      </c>
      <c r="B99" s="101">
        <v>1</v>
      </c>
      <c r="C99" s="101"/>
      <c r="D99" s="101">
        <f>ROW(A107)</f>
        <v>107</v>
      </c>
      <c r="E99" s="101"/>
      <c r="F99" s="101" t="s">
        <v>199</v>
      </c>
      <c r="G99" s="101" t="s">
        <v>184</v>
      </c>
      <c r="H99" s="101" t="s">
        <v>74</v>
      </c>
      <c r="I99" s="101">
        <v>0</v>
      </c>
      <c r="J99" s="101"/>
      <c r="K99" s="101">
        <v>-1</v>
      </c>
      <c r="L99" s="101"/>
      <c r="M99" s="101" t="s">
        <v>74</v>
      </c>
      <c r="N99" s="101"/>
      <c r="O99" s="101"/>
      <c r="P99" s="101"/>
      <c r="Q99" s="101"/>
      <c r="R99" s="101"/>
      <c r="S99" s="101">
        <v>0</v>
      </c>
      <c r="T99" s="101"/>
      <c r="U99" s="101" t="s">
        <v>74</v>
      </c>
      <c r="V99" s="101">
        <v>0</v>
      </c>
      <c r="W99" s="101"/>
      <c r="X99" s="101"/>
      <c r="Y99" s="101"/>
      <c r="Z99" s="101"/>
      <c r="AA99" s="101"/>
      <c r="AB99" s="101" t="s">
        <v>74</v>
      </c>
      <c r="AC99" s="101" t="s">
        <v>74</v>
      </c>
      <c r="AD99" s="101" t="s">
        <v>74</v>
      </c>
      <c r="AE99" s="101" t="s">
        <v>74</v>
      </c>
      <c r="AF99" s="101" t="s">
        <v>74</v>
      </c>
      <c r="AG99" s="101" t="s">
        <v>74</v>
      </c>
      <c r="AH99" s="101"/>
      <c r="AI99" s="101"/>
      <c r="AJ99" s="101"/>
      <c r="AK99" s="101"/>
      <c r="AL99" s="101"/>
      <c r="AM99" s="101"/>
      <c r="AN99" s="101"/>
      <c r="AO99" s="101"/>
      <c r="AP99" s="101" t="s">
        <v>74</v>
      </c>
      <c r="AQ99" s="101" t="s">
        <v>74</v>
      </c>
      <c r="AR99" s="101" t="s">
        <v>74</v>
      </c>
      <c r="AS99" s="101"/>
      <c r="AT99" s="101"/>
      <c r="AU99" s="101"/>
      <c r="AV99" s="101"/>
      <c r="AW99" s="101"/>
      <c r="AX99" s="101"/>
      <c r="AY99" s="101"/>
      <c r="AZ99" s="101" t="s">
        <v>74</v>
      </c>
      <c r="BA99" s="101"/>
      <c r="BB99" s="101" t="s">
        <v>74</v>
      </c>
      <c r="BC99" s="101" t="s">
        <v>74</v>
      </c>
      <c r="BD99" s="101" t="s">
        <v>74</v>
      </c>
      <c r="BE99" s="101" t="s">
        <v>74</v>
      </c>
      <c r="BF99" s="101" t="s">
        <v>74</v>
      </c>
      <c r="BG99" s="101" t="s">
        <v>74</v>
      </c>
      <c r="BH99" s="101" t="s">
        <v>74</v>
      </c>
      <c r="BI99" s="101" t="s">
        <v>74</v>
      </c>
      <c r="BJ99" s="101" t="s">
        <v>74</v>
      </c>
      <c r="BK99" s="101" t="s">
        <v>74</v>
      </c>
      <c r="BL99" s="101" t="s">
        <v>74</v>
      </c>
      <c r="BM99" s="101" t="s">
        <v>74</v>
      </c>
      <c r="BN99" s="101" t="s">
        <v>74</v>
      </c>
      <c r="BO99" s="101" t="s">
        <v>74</v>
      </c>
      <c r="BP99" s="101" t="s">
        <v>74</v>
      </c>
      <c r="BQ99" s="101"/>
      <c r="BR99" s="101"/>
      <c r="BS99" s="101"/>
      <c r="BT99" s="101"/>
      <c r="BU99" s="101"/>
      <c r="BV99" s="101"/>
      <c r="BW99" s="101"/>
      <c r="BX99" s="101">
        <v>0</v>
      </c>
      <c r="BY99" s="101"/>
      <c r="BZ99" s="101"/>
      <c r="CA99" s="101"/>
      <c r="CB99" s="101"/>
      <c r="CC99" s="101"/>
      <c r="CD99" s="101"/>
      <c r="CE99" s="101"/>
      <c r="CF99" s="101"/>
      <c r="CG99" s="101"/>
      <c r="CH99" s="101"/>
      <c r="CI99" s="101"/>
      <c r="CJ99" s="101">
        <v>0</v>
      </c>
    </row>
    <row r="101" spans="1:245" x14ac:dyDescent="0.2">
      <c r="A101" s="100">
        <v>52</v>
      </c>
      <c r="B101" s="100">
        <f>B107</f>
        <v>1</v>
      </c>
      <c r="C101" s="100">
        <f>C107</f>
        <v>4</v>
      </c>
      <c r="D101" s="100">
        <f>D107</f>
        <v>99</v>
      </c>
      <c r="E101" s="100">
        <f>E107</f>
        <v>0</v>
      </c>
      <c r="F101" s="100" t="str">
        <f>F107</f>
        <v>Новый раздел</v>
      </c>
      <c r="G101" s="100" t="str">
        <f>G107</f>
        <v>Пусконаладочные работы</v>
      </c>
      <c r="H101" s="100"/>
      <c r="I101" s="100"/>
      <c r="J101" s="100"/>
      <c r="K101" s="100"/>
      <c r="L101" s="100"/>
      <c r="M101" s="100"/>
      <c r="N101" s="100"/>
      <c r="O101" s="100">
        <f>O107</f>
        <v>89710</v>
      </c>
      <c r="P101" s="100">
        <f>P107</f>
        <v>0</v>
      </c>
      <c r="Q101" s="100">
        <f>Q107</f>
        <v>0</v>
      </c>
      <c r="R101" s="100">
        <f>R107</f>
        <v>0</v>
      </c>
      <c r="S101" s="100">
        <f>S107</f>
        <v>89710</v>
      </c>
      <c r="T101" s="100">
        <f>T107</f>
        <v>0</v>
      </c>
      <c r="U101" s="100">
        <f>U107</f>
        <v>240.51</v>
      </c>
      <c r="V101" s="100">
        <f>V107</f>
        <v>0</v>
      </c>
      <c r="W101" s="100">
        <f>W107</f>
        <v>0</v>
      </c>
      <c r="X101" s="100">
        <f>X107</f>
        <v>66385</v>
      </c>
      <c r="Y101" s="100">
        <f>Y107</f>
        <v>32296</v>
      </c>
      <c r="Z101" s="100">
        <f>Z107</f>
        <v>0</v>
      </c>
      <c r="AA101" s="100">
        <f>AA107</f>
        <v>0</v>
      </c>
      <c r="AB101" s="100">
        <f>AB107</f>
        <v>89710</v>
      </c>
      <c r="AC101" s="100">
        <f>AC107</f>
        <v>0</v>
      </c>
      <c r="AD101" s="100">
        <f>AD107</f>
        <v>0</v>
      </c>
      <c r="AE101" s="100">
        <f>AE107</f>
        <v>0</v>
      </c>
      <c r="AF101" s="100">
        <f>AF107</f>
        <v>89710</v>
      </c>
      <c r="AG101" s="100">
        <f>AG107</f>
        <v>0</v>
      </c>
      <c r="AH101" s="100">
        <f>AH107</f>
        <v>240.51</v>
      </c>
      <c r="AI101" s="100">
        <f>AI107</f>
        <v>0</v>
      </c>
      <c r="AJ101" s="100">
        <f>AJ107</f>
        <v>0</v>
      </c>
      <c r="AK101" s="100">
        <f>AK107</f>
        <v>66385</v>
      </c>
      <c r="AL101" s="100">
        <f>AL107</f>
        <v>32296</v>
      </c>
      <c r="AM101" s="100">
        <f>AM107</f>
        <v>0</v>
      </c>
      <c r="AN101" s="100">
        <f>AN107</f>
        <v>0</v>
      </c>
      <c r="AO101" s="100">
        <f>AO107</f>
        <v>0</v>
      </c>
      <c r="AP101" s="100">
        <f>AP107</f>
        <v>0</v>
      </c>
      <c r="AQ101" s="100">
        <f>AQ107</f>
        <v>0</v>
      </c>
      <c r="AR101" s="100">
        <f>AR107</f>
        <v>188391</v>
      </c>
      <c r="AS101" s="100">
        <f>AS107</f>
        <v>0</v>
      </c>
      <c r="AT101" s="100">
        <f>AT107</f>
        <v>0</v>
      </c>
      <c r="AU101" s="100">
        <f>AU107</f>
        <v>188391</v>
      </c>
      <c r="AV101" s="100">
        <f>AV107</f>
        <v>0</v>
      </c>
      <c r="AW101" s="100">
        <f>AW107</f>
        <v>0</v>
      </c>
      <c r="AX101" s="100">
        <f>AX107</f>
        <v>0</v>
      </c>
      <c r="AY101" s="100">
        <f>AY107</f>
        <v>0</v>
      </c>
      <c r="AZ101" s="100">
        <f>AZ107</f>
        <v>0</v>
      </c>
      <c r="BA101" s="100">
        <f>BA107</f>
        <v>0</v>
      </c>
      <c r="BB101" s="100">
        <f>BB107</f>
        <v>0</v>
      </c>
      <c r="BC101" s="100">
        <f>BC107</f>
        <v>0</v>
      </c>
      <c r="BD101" s="100">
        <f>BD107</f>
        <v>0</v>
      </c>
      <c r="BE101" s="100">
        <f>BE107</f>
        <v>0</v>
      </c>
      <c r="BF101" s="100">
        <f>BF107</f>
        <v>0</v>
      </c>
      <c r="BG101" s="100">
        <f>BG107</f>
        <v>0</v>
      </c>
      <c r="BH101" s="100">
        <f>BH107</f>
        <v>0</v>
      </c>
      <c r="BI101" s="100">
        <f>BI107</f>
        <v>0</v>
      </c>
      <c r="BJ101" s="100">
        <f>BJ107</f>
        <v>0</v>
      </c>
      <c r="BK101" s="100">
        <f>BK107</f>
        <v>0</v>
      </c>
      <c r="BL101" s="100">
        <f>BL107</f>
        <v>0</v>
      </c>
      <c r="BM101" s="100">
        <f>BM107</f>
        <v>0</v>
      </c>
      <c r="BN101" s="100">
        <f>BN107</f>
        <v>0</v>
      </c>
      <c r="BO101" s="100">
        <f>BO107</f>
        <v>0</v>
      </c>
      <c r="BP101" s="100">
        <f>BP107</f>
        <v>0</v>
      </c>
      <c r="BQ101" s="100">
        <f>BQ107</f>
        <v>0</v>
      </c>
      <c r="BR101" s="100">
        <f>BR107</f>
        <v>0</v>
      </c>
      <c r="BS101" s="100">
        <f>BS107</f>
        <v>0</v>
      </c>
      <c r="BT101" s="100">
        <f>BT107</f>
        <v>0</v>
      </c>
      <c r="BU101" s="100">
        <f>BU107</f>
        <v>0</v>
      </c>
      <c r="BV101" s="100">
        <f>BV107</f>
        <v>0</v>
      </c>
      <c r="BW101" s="100">
        <f>BW107</f>
        <v>0</v>
      </c>
      <c r="BX101" s="100">
        <f>BX107</f>
        <v>0</v>
      </c>
      <c r="BY101" s="100">
        <f>BY107</f>
        <v>0</v>
      </c>
      <c r="BZ101" s="100">
        <f>BZ107</f>
        <v>0</v>
      </c>
      <c r="CA101" s="100">
        <f>CA107</f>
        <v>188391</v>
      </c>
      <c r="CB101" s="100">
        <f>CB107</f>
        <v>0</v>
      </c>
      <c r="CC101" s="100">
        <f>CC107</f>
        <v>0</v>
      </c>
      <c r="CD101" s="100">
        <f>CD107</f>
        <v>188391</v>
      </c>
      <c r="CE101" s="100">
        <f>CE107</f>
        <v>0</v>
      </c>
      <c r="CF101" s="100">
        <f>CF107</f>
        <v>0</v>
      </c>
      <c r="CG101" s="100">
        <f>CG107</f>
        <v>0</v>
      </c>
      <c r="CH101" s="100">
        <f>CH107</f>
        <v>0</v>
      </c>
      <c r="CI101" s="100">
        <f>CI107</f>
        <v>0</v>
      </c>
      <c r="CJ101" s="100">
        <f>CJ107</f>
        <v>0</v>
      </c>
      <c r="CK101" s="100">
        <f>CK107</f>
        <v>0</v>
      </c>
      <c r="CL101" s="100">
        <f>CL107</f>
        <v>0</v>
      </c>
      <c r="CM101" s="100">
        <f>CM107</f>
        <v>0</v>
      </c>
      <c r="CN101" s="100">
        <f>CN107</f>
        <v>0</v>
      </c>
      <c r="CO101" s="100">
        <f>CO107</f>
        <v>0</v>
      </c>
      <c r="CP101" s="100">
        <f>CP107</f>
        <v>0</v>
      </c>
      <c r="CQ101" s="100">
        <f>CQ107</f>
        <v>0</v>
      </c>
      <c r="CR101" s="100">
        <f>CR107</f>
        <v>0</v>
      </c>
      <c r="CS101" s="100">
        <f>CS107</f>
        <v>0</v>
      </c>
      <c r="CT101" s="100">
        <f>CT107</f>
        <v>0</v>
      </c>
      <c r="CU101" s="100">
        <f>CU107</f>
        <v>0</v>
      </c>
      <c r="CV101" s="100">
        <f>CV107</f>
        <v>0</v>
      </c>
      <c r="CW101" s="100">
        <f>CW107</f>
        <v>0</v>
      </c>
      <c r="CX101" s="100">
        <f>CX107</f>
        <v>0</v>
      </c>
      <c r="CY101" s="100">
        <f>CY107</f>
        <v>0</v>
      </c>
      <c r="CZ101" s="100">
        <f>CZ107</f>
        <v>0</v>
      </c>
      <c r="DA101" s="100">
        <f>DA107</f>
        <v>0</v>
      </c>
      <c r="DB101" s="100">
        <f>DB107</f>
        <v>0</v>
      </c>
      <c r="DC101" s="100">
        <f>DC107</f>
        <v>0</v>
      </c>
      <c r="DD101" s="100">
        <f>DD107</f>
        <v>0</v>
      </c>
      <c r="DE101" s="100">
        <f>DE107</f>
        <v>0</v>
      </c>
      <c r="DF101" s="100">
        <f>DF107</f>
        <v>0</v>
      </c>
      <c r="DG101" s="98">
        <f>DG107</f>
        <v>0</v>
      </c>
      <c r="DH101" s="98">
        <f>DH107</f>
        <v>0</v>
      </c>
      <c r="DI101" s="98">
        <f>DI107</f>
        <v>0</v>
      </c>
      <c r="DJ101" s="98">
        <f>DJ107</f>
        <v>0</v>
      </c>
      <c r="DK101" s="98">
        <f>DK107</f>
        <v>0</v>
      </c>
      <c r="DL101" s="98">
        <f>DL107</f>
        <v>0</v>
      </c>
      <c r="DM101" s="98">
        <f>DM107</f>
        <v>0</v>
      </c>
      <c r="DN101" s="98">
        <f>DN107</f>
        <v>0</v>
      </c>
      <c r="DO101" s="98">
        <f>DO107</f>
        <v>0</v>
      </c>
      <c r="DP101" s="98">
        <f>DP107</f>
        <v>0</v>
      </c>
      <c r="DQ101" s="98">
        <f>DQ107</f>
        <v>0</v>
      </c>
      <c r="DR101" s="98">
        <f>DR107</f>
        <v>0</v>
      </c>
      <c r="DS101" s="98">
        <f>DS107</f>
        <v>0</v>
      </c>
      <c r="DT101" s="98">
        <f>DT107</f>
        <v>0</v>
      </c>
      <c r="DU101" s="98">
        <f>DU107</f>
        <v>0</v>
      </c>
      <c r="DV101" s="98">
        <f>DV107</f>
        <v>0</v>
      </c>
      <c r="DW101" s="98">
        <f>DW107</f>
        <v>0</v>
      </c>
      <c r="DX101" s="98">
        <f>DX107</f>
        <v>0</v>
      </c>
      <c r="DY101" s="98">
        <f>DY107</f>
        <v>0</v>
      </c>
      <c r="DZ101" s="98">
        <f>DZ107</f>
        <v>0</v>
      </c>
      <c r="EA101" s="98">
        <f>EA107</f>
        <v>0</v>
      </c>
      <c r="EB101" s="98">
        <f>EB107</f>
        <v>0</v>
      </c>
      <c r="EC101" s="98">
        <f>EC107</f>
        <v>0</v>
      </c>
      <c r="ED101" s="98">
        <f>ED107</f>
        <v>0</v>
      </c>
      <c r="EE101" s="98">
        <f>EE107</f>
        <v>0</v>
      </c>
      <c r="EF101" s="98">
        <f>EF107</f>
        <v>0</v>
      </c>
      <c r="EG101" s="98">
        <f>EG107</f>
        <v>0</v>
      </c>
      <c r="EH101" s="98">
        <f>EH107</f>
        <v>0</v>
      </c>
      <c r="EI101" s="98">
        <f>EI107</f>
        <v>0</v>
      </c>
      <c r="EJ101" s="98">
        <f>EJ107</f>
        <v>0</v>
      </c>
      <c r="EK101" s="98">
        <f>EK107</f>
        <v>0</v>
      </c>
      <c r="EL101" s="98">
        <f>EL107</f>
        <v>0</v>
      </c>
      <c r="EM101" s="98">
        <f>EM107</f>
        <v>0</v>
      </c>
      <c r="EN101" s="98">
        <f>EN107</f>
        <v>0</v>
      </c>
      <c r="EO101" s="98">
        <f>EO107</f>
        <v>0</v>
      </c>
      <c r="EP101" s="98">
        <f>EP107</f>
        <v>0</v>
      </c>
      <c r="EQ101" s="98">
        <f>EQ107</f>
        <v>0</v>
      </c>
      <c r="ER101" s="98">
        <f>ER107</f>
        <v>0</v>
      </c>
      <c r="ES101" s="98">
        <f>ES107</f>
        <v>0</v>
      </c>
      <c r="ET101" s="98">
        <f>ET107</f>
        <v>0</v>
      </c>
      <c r="EU101" s="98">
        <f>EU107</f>
        <v>0</v>
      </c>
      <c r="EV101" s="98">
        <f>EV107</f>
        <v>0</v>
      </c>
      <c r="EW101" s="98">
        <f>EW107</f>
        <v>0</v>
      </c>
      <c r="EX101" s="98">
        <f>EX107</f>
        <v>0</v>
      </c>
      <c r="EY101" s="98">
        <f>EY107</f>
        <v>0</v>
      </c>
      <c r="EZ101" s="98">
        <f>EZ107</f>
        <v>0</v>
      </c>
      <c r="FA101" s="98">
        <f>FA107</f>
        <v>0</v>
      </c>
      <c r="FB101" s="98">
        <f>FB107</f>
        <v>0</v>
      </c>
      <c r="FC101" s="98">
        <f>FC107</f>
        <v>0</v>
      </c>
      <c r="FD101" s="98">
        <f>FD107</f>
        <v>0</v>
      </c>
      <c r="FE101" s="98">
        <f>FE107</f>
        <v>0</v>
      </c>
      <c r="FF101" s="98">
        <f>FF107</f>
        <v>0</v>
      </c>
      <c r="FG101" s="98">
        <f>FG107</f>
        <v>0</v>
      </c>
      <c r="FH101" s="98">
        <f>FH107</f>
        <v>0</v>
      </c>
      <c r="FI101" s="98">
        <f>FI107</f>
        <v>0</v>
      </c>
      <c r="FJ101" s="98">
        <f>FJ107</f>
        <v>0</v>
      </c>
      <c r="FK101" s="98">
        <f>FK107</f>
        <v>0</v>
      </c>
      <c r="FL101" s="98">
        <f>FL107</f>
        <v>0</v>
      </c>
      <c r="FM101" s="98">
        <f>FM107</f>
        <v>0</v>
      </c>
      <c r="FN101" s="98">
        <f>FN107</f>
        <v>0</v>
      </c>
      <c r="FO101" s="98">
        <f>FO107</f>
        <v>0</v>
      </c>
      <c r="FP101" s="98">
        <f>FP107</f>
        <v>0</v>
      </c>
      <c r="FQ101" s="98">
        <f>FQ107</f>
        <v>0</v>
      </c>
      <c r="FR101" s="98">
        <f>FR107</f>
        <v>0</v>
      </c>
      <c r="FS101" s="98">
        <f>FS107</f>
        <v>0</v>
      </c>
      <c r="FT101" s="98">
        <f>FT107</f>
        <v>0</v>
      </c>
      <c r="FU101" s="98">
        <f>FU107</f>
        <v>0</v>
      </c>
      <c r="FV101" s="98">
        <f>FV107</f>
        <v>0</v>
      </c>
      <c r="FW101" s="98">
        <f>FW107</f>
        <v>0</v>
      </c>
      <c r="FX101" s="98">
        <f>FX107</f>
        <v>0</v>
      </c>
      <c r="FY101" s="98">
        <f>FY107</f>
        <v>0</v>
      </c>
      <c r="FZ101" s="98">
        <f>FZ107</f>
        <v>0</v>
      </c>
      <c r="GA101" s="98">
        <f>GA107</f>
        <v>0</v>
      </c>
      <c r="GB101" s="98">
        <f>GB107</f>
        <v>0</v>
      </c>
      <c r="GC101" s="98">
        <f>GC107</f>
        <v>0</v>
      </c>
      <c r="GD101" s="98">
        <f>GD107</f>
        <v>0</v>
      </c>
      <c r="GE101" s="98">
        <f>GE107</f>
        <v>0</v>
      </c>
      <c r="GF101" s="98">
        <f>GF107</f>
        <v>0</v>
      </c>
      <c r="GG101" s="98">
        <f>GG107</f>
        <v>0</v>
      </c>
      <c r="GH101" s="98">
        <f>GH107</f>
        <v>0</v>
      </c>
      <c r="GI101" s="98">
        <f>GI107</f>
        <v>0</v>
      </c>
      <c r="GJ101" s="98">
        <f>GJ107</f>
        <v>0</v>
      </c>
      <c r="GK101" s="98">
        <f>GK107</f>
        <v>0</v>
      </c>
      <c r="GL101" s="98">
        <f>GL107</f>
        <v>0</v>
      </c>
      <c r="GM101" s="98">
        <f>GM107</f>
        <v>0</v>
      </c>
      <c r="GN101" s="98">
        <f>GN107</f>
        <v>0</v>
      </c>
      <c r="GO101" s="98">
        <f>GO107</f>
        <v>0</v>
      </c>
      <c r="GP101" s="98">
        <f>GP107</f>
        <v>0</v>
      </c>
      <c r="GQ101" s="98">
        <f>GQ107</f>
        <v>0</v>
      </c>
      <c r="GR101" s="98">
        <f>GR107</f>
        <v>0</v>
      </c>
      <c r="GS101" s="98">
        <f>GS107</f>
        <v>0</v>
      </c>
      <c r="GT101" s="98">
        <f>GT107</f>
        <v>0</v>
      </c>
      <c r="GU101" s="98">
        <f>GU107</f>
        <v>0</v>
      </c>
      <c r="GV101" s="98">
        <f>GV107</f>
        <v>0</v>
      </c>
      <c r="GW101" s="98">
        <f>GW107</f>
        <v>0</v>
      </c>
      <c r="GX101" s="98">
        <f>GX107</f>
        <v>0</v>
      </c>
    </row>
    <row r="103" spans="1:245" x14ac:dyDescent="0.2">
      <c r="A103" s="27">
        <v>17</v>
      </c>
      <c r="B103" s="27">
        <v>1</v>
      </c>
      <c r="C103" s="27">
        <f>ROW(SmtRes!A46)</f>
        <v>46</v>
      </c>
      <c r="D103" s="27">
        <f>ROW(EtalonRes!A46)</f>
        <v>46</v>
      </c>
      <c r="E103" s="27" t="s">
        <v>198</v>
      </c>
      <c r="F103" s="27" t="s">
        <v>197</v>
      </c>
      <c r="G103" s="27" t="s">
        <v>196</v>
      </c>
      <c r="H103" s="27" t="s">
        <v>194</v>
      </c>
      <c r="I103" s="27">
        <f>ROUND(ROUND(1,2),7)</f>
        <v>1</v>
      </c>
      <c r="J103" s="27">
        <v>0</v>
      </c>
      <c r="K103" s="27">
        <f>ROUND(ROUND(1,2),7)</f>
        <v>1</v>
      </c>
      <c r="O103" s="27">
        <f>ROUND(CP103,0)</f>
        <v>45411</v>
      </c>
      <c r="P103" s="27">
        <f>ROUND(CQ103*I103,0)</f>
        <v>0</v>
      </c>
      <c r="Q103" s="27">
        <f>ROUND(CR103*I103,0)</f>
        <v>0</v>
      </c>
      <c r="R103" s="27">
        <f>ROUND(CS103*I103,0)</f>
        <v>0</v>
      </c>
      <c r="S103" s="27">
        <f>ROUND(CT103*I103,0)</f>
        <v>45411</v>
      </c>
      <c r="T103" s="27">
        <f>ROUND(CU103*I103,0)</f>
        <v>0</v>
      </c>
      <c r="U103" s="27">
        <f>CV103*I103</f>
        <v>102</v>
      </c>
      <c r="V103" s="27">
        <f>CW103*I103</f>
        <v>0</v>
      </c>
      <c r="W103" s="27">
        <f>ROUND(CX103*I103,0)</f>
        <v>0</v>
      </c>
      <c r="X103" s="27">
        <f>ROUND(CY103,0)</f>
        <v>33604</v>
      </c>
      <c r="Y103" s="27">
        <f>ROUND(CZ103,0)</f>
        <v>16348</v>
      </c>
      <c r="AA103" s="27">
        <v>34787475</v>
      </c>
      <c r="AB103" s="27">
        <f>ROUND((AC103+AD103+AF103),6)</f>
        <v>1660.97</v>
      </c>
      <c r="AC103" s="27">
        <f>ROUND((ES103),6)</f>
        <v>0</v>
      </c>
      <c r="AD103" s="27">
        <f>ROUND((((ET103)-(EU103))+AE103),6)</f>
        <v>0</v>
      </c>
      <c r="AE103" s="27">
        <f>ROUND((EU103),6)</f>
        <v>0</v>
      </c>
      <c r="AF103" s="27">
        <f>ROUND((EV103),6)</f>
        <v>1660.97</v>
      </c>
      <c r="AG103" s="27">
        <f>ROUND((AP103),6)</f>
        <v>0</v>
      </c>
      <c r="AH103" s="27">
        <f>(EW103)</f>
        <v>102</v>
      </c>
      <c r="AI103" s="27">
        <f>(EX103)</f>
        <v>0</v>
      </c>
      <c r="AJ103" s="27">
        <f>(AS103)</f>
        <v>0</v>
      </c>
      <c r="AK103" s="27">
        <v>1660.97</v>
      </c>
      <c r="AL103" s="27">
        <v>0</v>
      </c>
      <c r="AM103" s="27">
        <v>0</v>
      </c>
      <c r="AN103" s="27">
        <v>0</v>
      </c>
      <c r="AO103" s="27">
        <v>1660.97</v>
      </c>
      <c r="AP103" s="27">
        <v>0</v>
      </c>
      <c r="AQ103" s="27">
        <v>102</v>
      </c>
      <c r="AR103" s="27">
        <v>0</v>
      </c>
      <c r="AS103" s="27">
        <v>0</v>
      </c>
      <c r="AT103" s="27">
        <v>74</v>
      </c>
      <c r="AU103" s="27">
        <v>36</v>
      </c>
      <c r="AV103" s="27">
        <v>1</v>
      </c>
      <c r="AW103" s="27">
        <v>1</v>
      </c>
      <c r="AZ103" s="27">
        <v>1</v>
      </c>
      <c r="BA103" s="27">
        <v>27.34</v>
      </c>
      <c r="BB103" s="27">
        <v>1</v>
      </c>
      <c r="BC103" s="27">
        <v>1</v>
      </c>
      <c r="BD103" s="27" t="s">
        <v>74</v>
      </c>
      <c r="BE103" s="27" t="s">
        <v>74</v>
      </c>
      <c r="BF103" s="27" t="s">
        <v>74</v>
      </c>
      <c r="BG103" s="27" t="s">
        <v>74</v>
      </c>
      <c r="BH103" s="27">
        <v>0</v>
      </c>
      <c r="BI103" s="27">
        <v>4</v>
      </c>
      <c r="BJ103" s="27" t="s">
        <v>195</v>
      </c>
      <c r="BM103" s="27">
        <v>200002</v>
      </c>
      <c r="BN103" s="27">
        <v>0</v>
      </c>
      <c r="BO103" s="27" t="s">
        <v>74</v>
      </c>
      <c r="BP103" s="27">
        <v>0</v>
      </c>
      <c r="BQ103" s="27">
        <v>4</v>
      </c>
      <c r="BR103" s="27">
        <v>0</v>
      </c>
      <c r="BS103" s="27">
        <v>1</v>
      </c>
      <c r="BT103" s="27">
        <v>1</v>
      </c>
      <c r="BU103" s="27">
        <v>1</v>
      </c>
      <c r="BV103" s="27">
        <v>1</v>
      </c>
      <c r="BW103" s="27">
        <v>1</v>
      </c>
      <c r="BX103" s="27">
        <v>1</v>
      </c>
      <c r="BY103" s="27" t="s">
        <v>74</v>
      </c>
      <c r="BZ103" s="27">
        <v>74</v>
      </c>
      <c r="CA103" s="27">
        <v>36</v>
      </c>
      <c r="CB103" s="27" t="s">
        <v>74</v>
      </c>
      <c r="CE103" s="27">
        <v>0</v>
      </c>
      <c r="CF103" s="27">
        <v>0</v>
      </c>
      <c r="CG103" s="27">
        <v>0</v>
      </c>
      <c r="CM103" s="27">
        <v>0</v>
      </c>
      <c r="CN103" s="27" t="s">
        <v>74</v>
      </c>
      <c r="CO103" s="27">
        <v>0</v>
      </c>
      <c r="CP103" s="27">
        <f>(P103+Q103+S103)</f>
        <v>45411</v>
      </c>
      <c r="CQ103" s="27">
        <f>AC103*BC103</f>
        <v>0</v>
      </c>
      <c r="CR103" s="27">
        <f>AD103*BB103</f>
        <v>0</v>
      </c>
      <c r="CS103" s="27">
        <f>AE103*BS103</f>
        <v>0</v>
      </c>
      <c r="CT103" s="27">
        <f>AF103*BA103</f>
        <v>45410.919800000003</v>
      </c>
      <c r="CU103" s="27">
        <f>AG103</f>
        <v>0</v>
      </c>
      <c r="CV103" s="27">
        <f>AH103</f>
        <v>102</v>
      </c>
      <c r="CW103" s="27">
        <f>AI103</f>
        <v>0</v>
      </c>
      <c r="CX103" s="27">
        <f>AJ103</f>
        <v>0</v>
      </c>
      <c r="CY103" s="27">
        <f>(((S103+R103)*AT103)/100)</f>
        <v>33604.14</v>
      </c>
      <c r="CZ103" s="27">
        <f>(((S103+R103)*AU103)/100)</f>
        <v>16347.96</v>
      </c>
      <c r="DC103" s="27" t="s">
        <v>74</v>
      </c>
      <c r="DD103" s="27" t="s">
        <v>74</v>
      </c>
      <c r="DE103" s="27" t="s">
        <v>74</v>
      </c>
      <c r="DF103" s="27" t="s">
        <v>74</v>
      </c>
      <c r="DG103" s="27" t="s">
        <v>74</v>
      </c>
      <c r="DH103" s="27" t="s">
        <v>74</v>
      </c>
      <c r="DI103" s="27" t="s">
        <v>74</v>
      </c>
      <c r="DJ103" s="27" t="s">
        <v>74</v>
      </c>
      <c r="DK103" s="27" t="s">
        <v>74</v>
      </c>
      <c r="DL103" s="27" t="s">
        <v>74</v>
      </c>
      <c r="DM103" s="27" t="s">
        <v>74</v>
      </c>
      <c r="DN103" s="27">
        <v>74</v>
      </c>
      <c r="DO103" s="27">
        <v>36</v>
      </c>
      <c r="DP103" s="27">
        <v>1</v>
      </c>
      <c r="DQ103" s="27">
        <v>1</v>
      </c>
      <c r="DU103" s="27">
        <v>1013</v>
      </c>
      <c r="DV103" s="27" t="s">
        <v>194</v>
      </c>
      <c r="DW103" s="27" t="s">
        <v>194</v>
      </c>
      <c r="DX103" s="27">
        <v>1</v>
      </c>
      <c r="DZ103" s="27" t="s">
        <v>74</v>
      </c>
      <c r="EA103" s="27" t="s">
        <v>74</v>
      </c>
      <c r="EB103" s="27" t="s">
        <v>74</v>
      </c>
      <c r="EC103" s="27" t="s">
        <v>74</v>
      </c>
      <c r="EE103" s="27">
        <v>32940886</v>
      </c>
      <c r="EF103" s="27">
        <v>4</v>
      </c>
      <c r="EG103" s="27" t="s">
        <v>184</v>
      </c>
      <c r="EH103" s="27">
        <v>83</v>
      </c>
      <c r="EI103" s="27" t="s">
        <v>184</v>
      </c>
      <c r="EJ103" s="27">
        <v>4</v>
      </c>
      <c r="EK103" s="27">
        <v>200002</v>
      </c>
      <c r="EL103" s="27" t="s">
        <v>183</v>
      </c>
      <c r="EM103" s="27" t="s">
        <v>182</v>
      </c>
      <c r="EO103" s="27" t="s">
        <v>74</v>
      </c>
      <c r="EQ103" s="27">
        <v>0</v>
      </c>
      <c r="ER103" s="27">
        <v>1660.97</v>
      </c>
      <c r="ES103" s="27">
        <v>0</v>
      </c>
      <c r="ET103" s="27">
        <v>0</v>
      </c>
      <c r="EU103" s="27">
        <v>0</v>
      </c>
      <c r="EV103" s="27">
        <v>1660.97</v>
      </c>
      <c r="EW103" s="27">
        <v>102</v>
      </c>
      <c r="EX103" s="27">
        <v>0</v>
      </c>
      <c r="EY103" s="27">
        <v>0</v>
      </c>
      <c r="FQ103" s="27">
        <v>0</v>
      </c>
      <c r="FR103" s="27">
        <f>ROUND(IF(AND(BH103=3,BI103=3),P103,0),0)</f>
        <v>0</v>
      </c>
      <c r="FS103" s="27">
        <v>0</v>
      </c>
      <c r="FX103" s="27">
        <v>74</v>
      </c>
      <c r="FY103" s="27">
        <v>36</v>
      </c>
      <c r="GA103" s="27" t="s">
        <v>74</v>
      </c>
      <c r="GD103" s="27">
        <v>1</v>
      </c>
      <c r="GF103" s="27">
        <v>-1036414888</v>
      </c>
      <c r="GG103" s="27">
        <v>2</v>
      </c>
      <c r="GH103" s="27">
        <v>1</v>
      </c>
      <c r="GI103" s="27">
        <v>3</v>
      </c>
      <c r="GJ103" s="27">
        <v>0</v>
      </c>
      <c r="GK103" s="27">
        <v>0</v>
      </c>
      <c r="GL103" s="27">
        <f>ROUND(IF(AND(BH103=3,BI103=3,FS103&lt;&gt;0),P103,0),0)</f>
        <v>0</v>
      </c>
      <c r="GM103" s="27">
        <f>ROUND(O103+X103+Y103,0)+GX103</f>
        <v>95363</v>
      </c>
      <c r="GN103" s="27">
        <f>IF(OR(BI103=0,BI103=1),ROUND(O103+X103+Y103,0),0)</f>
        <v>0</v>
      </c>
      <c r="GO103" s="27">
        <f>IF(BI103=2,ROUND(O103+X103+Y103,0),0)</f>
        <v>0</v>
      </c>
      <c r="GP103" s="27">
        <f>IF(BI103=4,ROUND(O103+X103+Y103,0)+GX103,0)</f>
        <v>95363</v>
      </c>
      <c r="GR103" s="27">
        <v>0</v>
      </c>
      <c r="GS103" s="27">
        <v>3</v>
      </c>
      <c r="GT103" s="27">
        <v>0</v>
      </c>
      <c r="GU103" s="27" t="s">
        <v>74</v>
      </c>
      <c r="GV103" s="27">
        <f>ROUND((GT103),6)</f>
        <v>0</v>
      </c>
      <c r="GW103" s="27">
        <v>1</v>
      </c>
      <c r="GX103" s="27">
        <f>ROUND(HC103*I103,0)</f>
        <v>0</v>
      </c>
      <c r="HA103" s="27">
        <v>0</v>
      </c>
      <c r="HB103" s="27">
        <v>0</v>
      </c>
      <c r="HC103" s="27">
        <f>GV103*GW103</f>
        <v>0</v>
      </c>
      <c r="HE103" s="27" t="s">
        <v>74</v>
      </c>
      <c r="HF103" s="27" t="s">
        <v>74</v>
      </c>
      <c r="HM103" s="27" t="s">
        <v>74</v>
      </c>
      <c r="HN103" s="27" t="s">
        <v>74</v>
      </c>
      <c r="HO103" s="27" t="s">
        <v>74</v>
      </c>
      <c r="HP103" s="27" t="s">
        <v>74</v>
      </c>
      <c r="HQ103" s="27" t="s">
        <v>74</v>
      </c>
      <c r="IK103" s="27">
        <v>0</v>
      </c>
    </row>
    <row r="104" spans="1:245" x14ac:dyDescent="0.2">
      <c r="A104" s="27">
        <v>17</v>
      </c>
      <c r="B104" s="27">
        <v>1</v>
      </c>
      <c r="C104" s="27">
        <f>ROW(SmtRes!A49)</f>
        <v>49</v>
      </c>
      <c r="D104" s="27">
        <f>ROW(EtalonRes!A49)</f>
        <v>49</v>
      </c>
      <c r="E104" s="27" t="s">
        <v>74</v>
      </c>
      <c r="F104" s="27" t="s">
        <v>193</v>
      </c>
      <c r="G104" s="27" t="s">
        <v>192</v>
      </c>
      <c r="H104" s="27" t="s">
        <v>190</v>
      </c>
      <c r="I104" s="27">
        <f>ROUND(ROUND(7,2),7)</f>
        <v>7</v>
      </c>
      <c r="J104" s="27">
        <v>0</v>
      </c>
      <c r="K104" s="27">
        <f>ROUND(ROUND(7,2),7)</f>
        <v>7</v>
      </c>
      <c r="O104" s="27">
        <f>ROUND(CP104,0)</f>
        <v>31478</v>
      </c>
      <c r="P104" s="27">
        <f>ROUND(CQ104*I104,0)</f>
        <v>0</v>
      </c>
      <c r="Q104" s="27">
        <f>ROUND(CR104*I104,0)</f>
        <v>0</v>
      </c>
      <c r="R104" s="27">
        <f>ROUND(CS104*I104,0)</f>
        <v>0</v>
      </c>
      <c r="S104" s="27">
        <f>ROUND(CT104*I104,0)</f>
        <v>31478</v>
      </c>
      <c r="T104" s="27">
        <f>ROUND(CU104*I104,0)</f>
        <v>0</v>
      </c>
      <c r="U104" s="27">
        <f>CV104*I104</f>
        <v>70.7</v>
      </c>
      <c r="V104" s="27">
        <f>CW104*I104</f>
        <v>0</v>
      </c>
      <c r="W104" s="27">
        <f>ROUND(CX104*I104,0)</f>
        <v>0</v>
      </c>
      <c r="X104" s="27">
        <f>ROUND(CY104,0)</f>
        <v>23294</v>
      </c>
      <c r="Y104" s="27">
        <f>ROUND(CZ104,0)</f>
        <v>11332</v>
      </c>
      <c r="AA104" s="27">
        <v>-1</v>
      </c>
      <c r="AB104" s="27">
        <f>ROUND((AC104+AD104+AF104),6)</f>
        <v>164.48</v>
      </c>
      <c r="AC104" s="27">
        <f>ROUND((ES104),6)</f>
        <v>0</v>
      </c>
      <c r="AD104" s="27">
        <f>ROUND((((ET104)-(EU104))+AE104),6)</f>
        <v>0</v>
      </c>
      <c r="AE104" s="27">
        <f>ROUND((EU104),6)</f>
        <v>0</v>
      </c>
      <c r="AF104" s="27">
        <f>ROUND((EV104),6)</f>
        <v>164.48</v>
      </c>
      <c r="AG104" s="27">
        <f>ROUND((AP104),6)</f>
        <v>0</v>
      </c>
      <c r="AH104" s="27">
        <f>(EW104)</f>
        <v>10.1</v>
      </c>
      <c r="AI104" s="27">
        <f>(EX104)</f>
        <v>0</v>
      </c>
      <c r="AJ104" s="27">
        <f>(AS104)</f>
        <v>0</v>
      </c>
      <c r="AK104" s="27">
        <v>164.48</v>
      </c>
      <c r="AL104" s="27">
        <v>0</v>
      </c>
      <c r="AM104" s="27">
        <v>0</v>
      </c>
      <c r="AN104" s="27">
        <v>0</v>
      </c>
      <c r="AO104" s="27">
        <v>164.48</v>
      </c>
      <c r="AP104" s="27">
        <v>0</v>
      </c>
      <c r="AQ104" s="27">
        <v>10.1</v>
      </c>
      <c r="AR104" s="27">
        <v>0</v>
      </c>
      <c r="AS104" s="27">
        <v>0</v>
      </c>
      <c r="AT104" s="27">
        <v>74</v>
      </c>
      <c r="AU104" s="27">
        <v>36</v>
      </c>
      <c r="AV104" s="27">
        <v>1</v>
      </c>
      <c r="AW104" s="27">
        <v>1</v>
      </c>
      <c r="AZ104" s="27">
        <v>1</v>
      </c>
      <c r="BA104" s="27">
        <v>27.34</v>
      </c>
      <c r="BB104" s="27">
        <v>1</v>
      </c>
      <c r="BC104" s="27">
        <v>1</v>
      </c>
      <c r="BD104" s="27" t="s">
        <v>74</v>
      </c>
      <c r="BE104" s="27" t="s">
        <v>74</v>
      </c>
      <c r="BF104" s="27" t="s">
        <v>74</v>
      </c>
      <c r="BG104" s="27" t="s">
        <v>74</v>
      </c>
      <c r="BH104" s="27">
        <v>0</v>
      </c>
      <c r="BI104" s="27">
        <v>4</v>
      </c>
      <c r="BJ104" s="27" t="s">
        <v>191</v>
      </c>
      <c r="BM104" s="27">
        <v>200002</v>
      </c>
      <c r="BN104" s="27">
        <v>0</v>
      </c>
      <c r="BO104" s="27" t="s">
        <v>74</v>
      </c>
      <c r="BP104" s="27">
        <v>0</v>
      </c>
      <c r="BQ104" s="27">
        <v>4</v>
      </c>
      <c r="BR104" s="27">
        <v>0</v>
      </c>
      <c r="BS104" s="27">
        <v>1</v>
      </c>
      <c r="BT104" s="27">
        <v>1</v>
      </c>
      <c r="BU104" s="27">
        <v>1</v>
      </c>
      <c r="BV104" s="27">
        <v>1</v>
      </c>
      <c r="BW104" s="27">
        <v>1</v>
      </c>
      <c r="BX104" s="27">
        <v>1</v>
      </c>
      <c r="BY104" s="27" t="s">
        <v>74</v>
      </c>
      <c r="BZ104" s="27">
        <v>74</v>
      </c>
      <c r="CA104" s="27">
        <v>36</v>
      </c>
      <c r="CB104" s="27" t="s">
        <v>74</v>
      </c>
      <c r="CE104" s="27">
        <v>0</v>
      </c>
      <c r="CF104" s="27">
        <v>0</v>
      </c>
      <c r="CG104" s="27">
        <v>0</v>
      </c>
      <c r="CM104" s="27">
        <v>0</v>
      </c>
      <c r="CN104" s="27" t="s">
        <v>74</v>
      </c>
      <c r="CO104" s="27">
        <v>0</v>
      </c>
      <c r="CP104" s="27">
        <f>(P104+Q104+S104)</f>
        <v>31478</v>
      </c>
      <c r="CQ104" s="27">
        <f>AC104*BC104</f>
        <v>0</v>
      </c>
      <c r="CR104" s="27">
        <f>AD104*BB104</f>
        <v>0</v>
      </c>
      <c r="CS104" s="27">
        <f>AE104*BS104</f>
        <v>0</v>
      </c>
      <c r="CT104" s="27">
        <f>AF104*BA104</f>
        <v>4496.8831999999993</v>
      </c>
      <c r="CU104" s="27">
        <f>AG104</f>
        <v>0</v>
      </c>
      <c r="CV104" s="27">
        <f>AH104</f>
        <v>10.1</v>
      </c>
      <c r="CW104" s="27">
        <f>AI104</f>
        <v>0</v>
      </c>
      <c r="CX104" s="27">
        <f>AJ104</f>
        <v>0</v>
      </c>
      <c r="CY104" s="27">
        <f>(((S104+R104)*AT104)/100)</f>
        <v>23293.72</v>
      </c>
      <c r="CZ104" s="27">
        <f>(((S104+R104)*AU104)/100)</f>
        <v>11332.08</v>
      </c>
      <c r="DC104" s="27" t="s">
        <v>74</v>
      </c>
      <c r="DD104" s="27" t="s">
        <v>74</v>
      </c>
      <c r="DE104" s="27" t="s">
        <v>74</v>
      </c>
      <c r="DF104" s="27" t="s">
        <v>74</v>
      </c>
      <c r="DG104" s="27" t="s">
        <v>74</v>
      </c>
      <c r="DH104" s="27" t="s">
        <v>74</v>
      </c>
      <c r="DI104" s="27" t="s">
        <v>74</v>
      </c>
      <c r="DJ104" s="27" t="s">
        <v>74</v>
      </c>
      <c r="DK104" s="27" t="s">
        <v>74</v>
      </c>
      <c r="DL104" s="27" t="s">
        <v>74</v>
      </c>
      <c r="DM104" s="27" t="s">
        <v>74</v>
      </c>
      <c r="DN104" s="27">
        <v>74</v>
      </c>
      <c r="DO104" s="27">
        <v>36</v>
      </c>
      <c r="DP104" s="27">
        <v>1</v>
      </c>
      <c r="DQ104" s="27">
        <v>1</v>
      </c>
      <c r="DU104" s="27">
        <v>1013</v>
      </c>
      <c r="DV104" s="27" t="s">
        <v>190</v>
      </c>
      <c r="DW104" s="27" t="s">
        <v>190</v>
      </c>
      <c r="DX104" s="27">
        <v>1</v>
      </c>
      <c r="DZ104" s="27" t="s">
        <v>74</v>
      </c>
      <c r="EA104" s="27" t="s">
        <v>74</v>
      </c>
      <c r="EB104" s="27" t="s">
        <v>74</v>
      </c>
      <c r="EC104" s="27" t="s">
        <v>74</v>
      </c>
      <c r="EE104" s="27">
        <v>32940886</v>
      </c>
      <c r="EF104" s="27">
        <v>4</v>
      </c>
      <c r="EG104" s="27" t="s">
        <v>184</v>
      </c>
      <c r="EH104" s="27">
        <v>83</v>
      </c>
      <c r="EI104" s="27" t="s">
        <v>184</v>
      </c>
      <c r="EJ104" s="27">
        <v>4</v>
      </c>
      <c r="EK104" s="27">
        <v>200002</v>
      </c>
      <c r="EL104" s="27" t="s">
        <v>183</v>
      </c>
      <c r="EM104" s="27" t="s">
        <v>182</v>
      </c>
      <c r="EO104" s="27" t="s">
        <v>74</v>
      </c>
      <c r="EQ104" s="27">
        <v>1024</v>
      </c>
      <c r="ER104" s="27">
        <v>164.48</v>
      </c>
      <c r="ES104" s="27">
        <v>0</v>
      </c>
      <c r="ET104" s="27">
        <v>0</v>
      </c>
      <c r="EU104" s="27">
        <v>0</v>
      </c>
      <c r="EV104" s="27">
        <v>164.48</v>
      </c>
      <c r="EW104" s="27">
        <v>10.1</v>
      </c>
      <c r="EX104" s="27">
        <v>0</v>
      </c>
      <c r="EY104" s="27">
        <v>0</v>
      </c>
      <c r="FQ104" s="27">
        <v>0</v>
      </c>
      <c r="FR104" s="27">
        <f>ROUND(IF(AND(BH104=3,BI104=3),P104,0),0)</f>
        <v>0</v>
      </c>
      <c r="FS104" s="27">
        <v>0</v>
      </c>
      <c r="FX104" s="27">
        <v>74</v>
      </c>
      <c r="FY104" s="27">
        <v>36</v>
      </c>
      <c r="GA104" s="27" t="s">
        <v>74</v>
      </c>
      <c r="GD104" s="27">
        <v>1</v>
      </c>
      <c r="GF104" s="27">
        <v>-1122609941</v>
      </c>
      <c r="GG104" s="27">
        <v>2</v>
      </c>
      <c r="GH104" s="27">
        <v>1</v>
      </c>
      <c r="GI104" s="27">
        <v>3</v>
      </c>
      <c r="GJ104" s="27">
        <v>0</v>
      </c>
      <c r="GK104" s="27">
        <v>0</v>
      </c>
      <c r="GL104" s="27">
        <f>ROUND(IF(AND(BH104=3,BI104=3,FS104&lt;&gt;0),P104,0),0)</f>
        <v>0</v>
      </c>
      <c r="GM104" s="27">
        <f>ROUND(O104+X104+Y104,0)+GX104</f>
        <v>66104</v>
      </c>
      <c r="GN104" s="27">
        <f>IF(OR(BI104=0,BI104=1),ROUND(O104+X104+Y104,0),0)</f>
        <v>0</v>
      </c>
      <c r="GO104" s="27">
        <f>IF(BI104=2,ROUND(O104+X104+Y104,0),0)</f>
        <v>0</v>
      </c>
      <c r="GP104" s="27">
        <f>IF(BI104=4,ROUND(O104+X104+Y104,0)+GX104,0)</f>
        <v>66104</v>
      </c>
      <c r="GR104" s="27">
        <v>0</v>
      </c>
      <c r="GS104" s="27">
        <v>3</v>
      </c>
      <c r="GT104" s="27">
        <v>0</v>
      </c>
      <c r="GU104" s="27" t="s">
        <v>74</v>
      </c>
      <c r="GV104" s="27">
        <f>ROUND((GT104),6)</f>
        <v>0</v>
      </c>
      <c r="GW104" s="27">
        <v>1</v>
      </c>
      <c r="GX104" s="27">
        <f>ROUND(HC104*I104,0)</f>
        <v>0</v>
      </c>
      <c r="HA104" s="27">
        <v>0</v>
      </c>
      <c r="HB104" s="27">
        <v>0</v>
      </c>
      <c r="HC104" s="27">
        <f>GV104*GW104</f>
        <v>0</v>
      </c>
      <c r="HE104" s="27" t="s">
        <v>74</v>
      </c>
      <c r="HF104" s="27" t="s">
        <v>74</v>
      </c>
      <c r="HM104" s="27" t="s">
        <v>74</v>
      </c>
      <c r="HN104" s="27" t="s">
        <v>74</v>
      </c>
      <c r="HO104" s="27" t="s">
        <v>74</v>
      </c>
      <c r="HP104" s="27" t="s">
        <v>74</v>
      </c>
      <c r="HQ104" s="27" t="s">
        <v>74</v>
      </c>
      <c r="IK104" s="27">
        <v>0</v>
      </c>
    </row>
    <row r="105" spans="1:245" x14ac:dyDescent="0.2">
      <c r="A105" s="27">
        <v>17</v>
      </c>
      <c r="B105" s="27">
        <v>1</v>
      </c>
      <c r="C105" s="27">
        <f>ROW(SmtRes!A51)</f>
        <v>51</v>
      </c>
      <c r="D105" s="27">
        <f>ROW(EtalonRes!A51)</f>
        <v>51</v>
      </c>
      <c r="E105" s="27" t="s">
        <v>189</v>
      </c>
      <c r="F105" s="27" t="s">
        <v>188</v>
      </c>
      <c r="G105" s="27" t="s">
        <v>187</v>
      </c>
      <c r="H105" s="27" t="s">
        <v>185</v>
      </c>
      <c r="I105" s="27">
        <f>ROUND(ROUND(1,2),7)</f>
        <v>1</v>
      </c>
      <c r="J105" s="27">
        <v>0</v>
      </c>
      <c r="K105" s="27">
        <f>ROUND(ROUND(1,2),7)</f>
        <v>1</v>
      </c>
      <c r="O105" s="27">
        <f>ROUND(CP105,0)</f>
        <v>44299</v>
      </c>
      <c r="P105" s="27">
        <f>ROUND(CQ105*I105,0)</f>
        <v>0</v>
      </c>
      <c r="Q105" s="27">
        <f>ROUND(CR105*I105,0)</f>
        <v>0</v>
      </c>
      <c r="R105" s="27">
        <f>ROUND(CS105*I105,0)</f>
        <v>0</v>
      </c>
      <c r="S105" s="27">
        <f>ROUND(CT105*I105,0)</f>
        <v>44299</v>
      </c>
      <c r="T105" s="27">
        <f>ROUND(CU105*I105,0)</f>
        <v>0</v>
      </c>
      <c r="U105" s="27">
        <f>CV105*I105</f>
        <v>138.51</v>
      </c>
      <c r="V105" s="27">
        <f>CW105*I105</f>
        <v>0</v>
      </c>
      <c r="W105" s="27">
        <f>ROUND(CX105*I105,0)</f>
        <v>0</v>
      </c>
      <c r="X105" s="27">
        <f>ROUND(CY105,0)</f>
        <v>32781</v>
      </c>
      <c r="Y105" s="27">
        <f>ROUND(CZ105,0)</f>
        <v>15948</v>
      </c>
      <c r="AA105" s="27">
        <v>34787475</v>
      </c>
      <c r="AB105" s="27">
        <f>ROUND((AC105+AD105+AF105),6)</f>
        <v>1620.3</v>
      </c>
      <c r="AC105" s="27">
        <f>ROUND((ES105),6)</f>
        <v>0</v>
      </c>
      <c r="AD105" s="27">
        <f>ROUND((((ET105)-(EU105))+AE105),6)</f>
        <v>0</v>
      </c>
      <c r="AE105" s="27">
        <f>ROUND((EU105),6)</f>
        <v>0</v>
      </c>
      <c r="AF105" s="27">
        <f>ROUND((EV105),6)</f>
        <v>1620.3</v>
      </c>
      <c r="AG105" s="27">
        <f>ROUND((AP105),6)</f>
        <v>0</v>
      </c>
      <c r="AH105" s="27">
        <f>(EW105)</f>
        <v>138.51</v>
      </c>
      <c r="AI105" s="27">
        <f>(EX105)</f>
        <v>0</v>
      </c>
      <c r="AJ105" s="27">
        <f>(AS105)</f>
        <v>0</v>
      </c>
      <c r="AK105" s="27">
        <v>1620.3</v>
      </c>
      <c r="AL105" s="27">
        <v>0</v>
      </c>
      <c r="AM105" s="27">
        <v>0</v>
      </c>
      <c r="AN105" s="27">
        <v>0</v>
      </c>
      <c r="AO105" s="27">
        <v>1620.3</v>
      </c>
      <c r="AP105" s="27">
        <v>0</v>
      </c>
      <c r="AQ105" s="27">
        <v>138.51</v>
      </c>
      <c r="AR105" s="27">
        <v>0</v>
      </c>
      <c r="AS105" s="27">
        <v>0</v>
      </c>
      <c r="AT105" s="27">
        <v>74</v>
      </c>
      <c r="AU105" s="27">
        <v>36</v>
      </c>
      <c r="AV105" s="27">
        <v>1</v>
      </c>
      <c r="AW105" s="27">
        <v>1</v>
      </c>
      <c r="AZ105" s="27">
        <v>1</v>
      </c>
      <c r="BA105" s="27">
        <v>27.34</v>
      </c>
      <c r="BB105" s="27">
        <v>1</v>
      </c>
      <c r="BC105" s="27">
        <v>1</v>
      </c>
      <c r="BD105" s="27" t="s">
        <v>74</v>
      </c>
      <c r="BE105" s="27" t="s">
        <v>74</v>
      </c>
      <c r="BF105" s="27" t="s">
        <v>74</v>
      </c>
      <c r="BG105" s="27" t="s">
        <v>74</v>
      </c>
      <c r="BH105" s="27">
        <v>0</v>
      </c>
      <c r="BI105" s="27">
        <v>4</v>
      </c>
      <c r="BJ105" s="27" t="s">
        <v>186</v>
      </c>
      <c r="BM105" s="27">
        <v>200001</v>
      </c>
      <c r="BN105" s="27">
        <v>0</v>
      </c>
      <c r="BO105" s="27" t="s">
        <v>74</v>
      </c>
      <c r="BP105" s="27">
        <v>0</v>
      </c>
      <c r="BQ105" s="27">
        <v>4</v>
      </c>
      <c r="BR105" s="27">
        <v>0</v>
      </c>
      <c r="BS105" s="27">
        <v>1</v>
      </c>
      <c r="BT105" s="27">
        <v>1</v>
      </c>
      <c r="BU105" s="27">
        <v>1</v>
      </c>
      <c r="BV105" s="27">
        <v>1</v>
      </c>
      <c r="BW105" s="27">
        <v>1</v>
      </c>
      <c r="BX105" s="27">
        <v>1</v>
      </c>
      <c r="BY105" s="27" t="s">
        <v>74</v>
      </c>
      <c r="BZ105" s="27">
        <v>74</v>
      </c>
      <c r="CA105" s="27">
        <v>36</v>
      </c>
      <c r="CB105" s="27" t="s">
        <v>74</v>
      </c>
      <c r="CE105" s="27">
        <v>0</v>
      </c>
      <c r="CF105" s="27">
        <v>0</v>
      </c>
      <c r="CG105" s="27">
        <v>0</v>
      </c>
      <c r="CM105" s="27">
        <v>0</v>
      </c>
      <c r="CN105" s="27" t="s">
        <v>74</v>
      </c>
      <c r="CO105" s="27">
        <v>0</v>
      </c>
      <c r="CP105" s="27">
        <f>(P105+Q105+S105)</f>
        <v>44299</v>
      </c>
      <c r="CQ105" s="27">
        <f>AC105*BC105</f>
        <v>0</v>
      </c>
      <c r="CR105" s="27">
        <f>AD105*BB105</f>
        <v>0</v>
      </c>
      <c r="CS105" s="27">
        <f>AE105*BS105</f>
        <v>0</v>
      </c>
      <c r="CT105" s="27">
        <f>AF105*BA105</f>
        <v>44299.002</v>
      </c>
      <c r="CU105" s="27">
        <f>AG105</f>
        <v>0</v>
      </c>
      <c r="CV105" s="27">
        <f>AH105</f>
        <v>138.51</v>
      </c>
      <c r="CW105" s="27">
        <f>AI105</f>
        <v>0</v>
      </c>
      <c r="CX105" s="27">
        <f>AJ105</f>
        <v>0</v>
      </c>
      <c r="CY105" s="27">
        <f>(((S105+R105)*AT105)/100)</f>
        <v>32781.26</v>
      </c>
      <c r="CZ105" s="27">
        <f>(((S105+R105)*AU105)/100)</f>
        <v>15947.64</v>
      </c>
      <c r="DC105" s="27" t="s">
        <v>74</v>
      </c>
      <c r="DD105" s="27" t="s">
        <v>74</v>
      </c>
      <c r="DE105" s="27" t="s">
        <v>74</v>
      </c>
      <c r="DF105" s="27" t="s">
        <v>74</v>
      </c>
      <c r="DG105" s="27" t="s">
        <v>74</v>
      </c>
      <c r="DH105" s="27" t="s">
        <v>74</v>
      </c>
      <c r="DI105" s="27" t="s">
        <v>74</v>
      </c>
      <c r="DJ105" s="27" t="s">
        <v>74</v>
      </c>
      <c r="DK105" s="27" t="s">
        <v>74</v>
      </c>
      <c r="DL105" s="27" t="s">
        <v>74</v>
      </c>
      <c r="DM105" s="27" t="s">
        <v>74</v>
      </c>
      <c r="DN105" s="27">
        <v>74</v>
      </c>
      <c r="DO105" s="27">
        <v>36</v>
      </c>
      <c r="DP105" s="27">
        <v>1</v>
      </c>
      <c r="DQ105" s="27">
        <v>1</v>
      </c>
      <c r="DU105" s="27">
        <v>1013</v>
      </c>
      <c r="DV105" s="27" t="s">
        <v>185</v>
      </c>
      <c r="DW105" s="27" t="s">
        <v>185</v>
      </c>
      <c r="DX105" s="27">
        <v>1</v>
      </c>
      <c r="DZ105" s="27" t="s">
        <v>74</v>
      </c>
      <c r="EA105" s="27" t="s">
        <v>74</v>
      </c>
      <c r="EB105" s="27" t="s">
        <v>74</v>
      </c>
      <c r="EC105" s="27" t="s">
        <v>74</v>
      </c>
      <c r="EE105" s="27">
        <v>32940371</v>
      </c>
      <c r="EF105" s="27">
        <v>4</v>
      </c>
      <c r="EG105" s="27" t="s">
        <v>184</v>
      </c>
      <c r="EH105" s="27">
        <v>83</v>
      </c>
      <c r="EI105" s="27" t="s">
        <v>184</v>
      </c>
      <c r="EJ105" s="27">
        <v>4</v>
      </c>
      <c r="EK105" s="27">
        <v>200001</v>
      </c>
      <c r="EL105" s="27" t="s">
        <v>183</v>
      </c>
      <c r="EM105" s="27" t="s">
        <v>182</v>
      </c>
      <c r="EO105" s="27" t="s">
        <v>74</v>
      </c>
      <c r="EQ105" s="27">
        <v>0</v>
      </c>
      <c r="ER105" s="27">
        <v>1620.3</v>
      </c>
      <c r="ES105" s="27">
        <v>0</v>
      </c>
      <c r="ET105" s="27">
        <v>0</v>
      </c>
      <c r="EU105" s="27">
        <v>0</v>
      </c>
      <c r="EV105" s="27">
        <v>1620.3</v>
      </c>
      <c r="EW105" s="27">
        <v>138.51</v>
      </c>
      <c r="EX105" s="27">
        <v>0</v>
      </c>
      <c r="EY105" s="27">
        <v>0</v>
      </c>
      <c r="FQ105" s="27">
        <v>0</v>
      </c>
      <c r="FR105" s="27">
        <f>ROUND(IF(AND(BH105=3,BI105=3),P105,0),0)</f>
        <v>0</v>
      </c>
      <c r="FS105" s="27">
        <v>0</v>
      </c>
      <c r="FX105" s="27">
        <v>74</v>
      </c>
      <c r="FY105" s="27">
        <v>36</v>
      </c>
      <c r="GA105" s="27" t="s">
        <v>74</v>
      </c>
      <c r="GD105" s="27">
        <v>1</v>
      </c>
      <c r="GF105" s="27">
        <v>-541765841</v>
      </c>
      <c r="GG105" s="27">
        <v>2</v>
      </c>
      <c r="GH105" s="27">
        <v>1</v>
      </c>
      <c r="GI105" s="27">
        <v>3</v>
      </c>
      <c r="GJ105" s="27">
        <v>0</v>
      </c>
      <c r="GK105" s="27">
        <v>0</v>
      </c>
      <c r="GL105" s="27">
        <f>ROUND(IF(AND(BH105=3,BI105=3,FS105&lt;&gt;0),P105,0),0)</f>
        <v>0</v>
      </c>
      <c r="GM105" s="27">
        <f>ROUND(O105+X105+Y105,0)+GX105</f>
        <v>93028</v>
      </c>
      <c r="GN105" s="27">
        <f>IF(OR(BI105=0,BI105=1),ROUND(O105+X105+Y105,0),0)</f>
        <v>0</v>
      </c>
      <c r="GO105" s="27">
        <f>IF(BI105=2,ROUND(O105+X105+Y105,0),0)</f>
        <v>0</v>
      </c>
      <c r="GP105" s="27">
        <f>IF(BI105=4,ROUND(O105+X105+Y105,0)+GX105,0)</f>
        <v>93028</v>
      </c>
      <c r="GR105" s="27">
        <v>0</v>
      </c>
      <c r="GS105" s="27">
        <v>3</v>
      </c>
      <c r="GT105" s="27">
        <v>0</v>
      </c>
      <c r="GU105" s="27" t="s">
        <v>74</v>
      </c>
      <c r="GV105" s="27">
        <f>ROUND((GT105),6)</f>
        <v>0</v>
      </c>
      <c r="GW105" s="27">
        <v>1</v>
      </c>
      <c r="GX105" s="27">
        <f>ROUND(HC105*I105,0)</f>
        <v>0</v>
      </c>
      <c r="HA105" s="27">
        <v>0</v>
      </c>
      <c r="HB105" s="27">
        <v>0</v>
      </c>
      <c r="HC105" s="27">
        <f>GV105*GW105</f>
        <v>0</v>
      </c>
      <c r="HE105" s="27" t="s">
        <v>74</v>
      </c>
      <c r="HF105" s="27" t="s">
        <v>74</v>
      </c>
      <c r="HM105" s="27" t="s">
        <v>74</v>
      </c>
      <c r="HN105" s="27" t="s">
        <v>74</v>
      </c>
      <c r="HO105" s="27" t="s">
        <v>74</v>
      </c>
      <c r="HP105" s="27" t="s">
        <v>74</v>
      </c>
      <c r="HQ105" s="27" t="s">
        <v>74</v>
      </c>
      <c r="IK105" s="27">
        <v>0</v>
      </c>
    </row>
    <row r="107" spans="1:245" x14ac:dyDescent="0.2">
      <c r="A107" s="100">
        <v>51</v>
      </c>
      <c r="B107" s="100">
        <f>B99</f>
        <v>1</v>
      </c>
      <c r="C107" s="100">
        <f>A99</f>
        <v>4</v>
      </c>
      <c r="D107" s="100">
        <f>ROW(A99)</f>
        <v>99</v>
      </c>
      <c r="E107" s="100"/>
      <c r="F107" s="100" t="str">
        <f>IF(F99&lt;&gt;"",F99,"")</f>
        <v>Новый раздел</v>
      </c>
      <c r="G107" s="100" t="str">
        <f>IF(G99&lt;&gt;"",G99,"")</f>
        <v>Пусконаладочные работы</v>
      </c>
      <c r="H107" s="100">
        <v>0</v>
      </c>
      <c r="I107" s="100"/>
      <c r="J107" s="100"/>
      <c r="K107" s="100"/>
      <c r="L107" s="100"/>
      <c r="M107" s="100"/>
      <c r="N107" s="100"/>
      <c r="O107" s="100">
        <f>ROUND(AB107,0)</f>
        <v>89710</v>
      </c>
      <c r="P107" s="100">
        <f>ROUND(AC107,0)</f>
        <v>0</v>
      </c>
      <c r="Q107" s="100">
        <f>ROUND(AD107,0)</f>
        <v>0</v>
      </c>
      <c r="R107" s="100">
        <f>ROUND(AE107,0)</f>
        <v>0</v>
      </c>
      <c r="S107" s="100">
        <f>ROUND(AF107,0)</f>
        <v>89710</v>
      </c>
      <c r="T107" s="100">
        <f>ROUND(AG107,0)</f>
        <v>0</v>
      </c>
      <c r="U107" s="100">
        <f>AH107</f>
        <v>240.51</v>
      </c>
      <c r="V107" s="100">
        <f>AI107</f>
        <v>0</v>
      </c>
      <c r="W107" s="100">
        <f>ROUND(AJ107,0)</f>
        <v>0</v>
      </c>
      <c r="X107" s="100">
        <f>ROUND(AK107,0)</f>
        <v>66385</v>
      </c>
      <c r="Y107" s="100">
        <f>ROUND(AL107,0)</f>
        <v>32296</v>
      </c>
      <c r="Z107" s="100"/>
      <c r="AA107" s="100"/>
      <c r="AB107" s="100">
        <f>ROUND(SUMIF(AA103:AA105,"=34787475",O103:O105),0)</f>
        <v>89710</v>
      </c>
      <c r="AC107" s="100">
        <f>ROUND(SUMIF(AA103:AA105,"=34787475",P103:P105),0)</f>
        <v>0</v>
      </c>
      <c r="AD107" s="100">
        <f>ROUND(SUMIF(AA103:AA105,"=34787475",Q103:Q105),0)</f>
        <v>0</v>
      </c>
      <c r="AE107" s="100">
        <f>ROUND(SUMIF(AA103:AA105,"=34787475",R103:R105),0)</f>
        <v>0</v>
      </c>
      <c r="AF107" s="100">
        <f>ROUND(SUMIF(AA103:AA105,"=34787475",S103:S105),0)</f>
        <v>89710</v>
      </c>
      <c r="AG107" s="100">
        <f>ROUND(SUMIF(AA103:AA105,"=34787475",T103:T105),0)</f>
        <v>0</v>
      </c>
      <c r="AH107" s="100">
        <f>SUMIF(AA103:AA105,"=34787475",U103:U105)</f>
        <v>240.51</v>
      </c>
      <c r="AI107" s="100">
        <f>SUMIF(AA103:AA105,"=34787475",V103:V105)</f>
        <v>0</v>
      </c>
      <c r="AJ107" s="100">
        <f>ROUND(SUMIF(AA103:AA105,"=34787475",W103:W105),0)</f>
        <v>0</v>
      </c>
      <c r="AK107" s="100">
        <f>ROUND(SUMIF(AA103:AA105,"=34787475",X103:X105),0)</f>
        <v>66385</v>
      </c>
      <c r="AL107" s="100">
        <f>ROUND(SUMIF(AA103:AA105,"=34787475",Y103:Y105),0)</f>
        <v>32296</v>
      </c>
      <c r="AM107" s="100"/>
      <c r="AN107" s="100"/>
      <c r="AO107" s="100">
        <f>ROUND(BX107,0)</f>
        <v>0</v>
      </c>
      <c r="AP107" s="100">
        <f>ROUND(BY107,0)</f>
        <v>0</v>
      </c>
      <c r="AQ107" s="100">
        <f>ROUND(BZ107,0)</f>
        <v>0</v>
      </c>
      <c r="AR107" s="100">
        <f>ROUND(CA107,0)</f>
        <v>188391</v>
      </c>
      <c r="AS107" s="100">
        <f>ROUND(CB107,0)</f>
        <v>0</v>
      </c>
      <c r="AT107" s="100">
        <f>ROUND(CC107,0)</f>
        <v>0</v>
      </c>
      <c r="AU107" s="100">
        <f>ROUND(CD107,0)</f>
        <v>188391</v>
      </c>
      <c r="AV107" s="100">
        <f>ROUND(CE107,0)</f>
        <v>0</v>
      </c>
      <c r="AW107" s="100">
        <f>ROUND(CF107,0)</f>
        <v>0</v>
      </c>
      <c r="AX107" s="100">
        <f>ROUND(CG107,0)</f>
        <v>0</v>
      </c>
      <c r="AY107" s="100">
        <f>ROUND(CH107,0)</f>
        <v>0</v>
      </c>
      <c r="AZ107" s="100">
        <f>ROUND(CI107,0)</f>
        <v>0</v>
      </c>
      <c r="BA107" s="100">
        <f>ROUND(CJ107,0)</f>
        <v>0</v>
      </c>
      <c r="BB107" s="100">
        <f>ROUND(CK107,0)</f>
        <v>0</v>
      </c>
      <c r="BC107" s="100">
        <f>ROUND(CL107,0)</f>
        <v>0</v>
      </c>
      <c r="BD107" s="100">
        <f>ROUND(CM107,0)</f>
        <v>0</v>
      </c>
      <c r="BE107" s="100"/>
      <c r="BF107" s="100"/>
      <c r="BG107" s="100"/>
      <c r="BH107" s="100"/>
      <c r="BI107" s="100"/>
      <c r="BJ107" s="100"/>
      <c r="BK107" s="100"/>
      <c r="BL107" s="100"/>
      <c r="BM107" s="100"/>
      <c r="BN107" s="100"/>
      <c r="BO107" s="100"/>
      <c r="BP107" s="100"/>
      <c r="BQ107" s="100"/>
      <c r="BR107" s="100"/>
      <c r="BS107" s="100"/>
      <c r="BT107" s="100"/>
      <c r="BU107" s="100"/>
      <c r="BV107" s="100"/>
      <c r="BW107" s="100"/>
      <c r="BX107" s="100">
        <f>ROUND(SUMIF(AA103:AA105,"=34787475",FQ103:FQ105),0)</f>
        <v>0</v>
      </c>
      <c r="BY107" s="100">
        <f>ROUND(SUMIF(AA103:AA105,"=34787475",FR103:FR105),0)</f>
        <v>0</v>
      </c>
      <c r="BZ107" s="100">
        <f>ROUND(SUMIF(AA103:AA105,"=34787475",GL103:GL105),0)</f>
        <v>0</v>
      </c>
      <c r="CA107" s="100">
        <f>ROUND(SUMIF(AA103:AA105,"=34787475",GM103:GM105),0)</f>
        <v>188391</v>
      </c>
      <c r="CB107" s="100">
        <f>ROUND(SUMIF(AA103:AA105,"=34787475",GN103:GN105),0)</f>
        <v>0</v>
      </c>
      <c r="CC107" s="100">
        <f>ROUND(SUMIF(AA103:AA105,"=34787475",GO103:GO105),0)</f>
        <v>0</v>
      </c>
      <c r="CD107" s="100">
        <f>ROUND(SUMIF(AA103:AA105,"=34787475",GP103:GP105),0)</f>
        <v>188391</v>
      </c>
      <c r="CE107" s="100">
        <f>AC107-BX107</f>
        <v>0</v>
      </c>
      <c r="CF107" s="100">
        <f>AC107-BY107</f>
        <v>0</v>
      </c>
      <c r="CG107" s="100">
        <f>BX107-BZ107</f>
        <v>0</v>
      </c>
      <c r="CH107" s="100">
        <f>AC107-BX107-BY107+BZ107</f>
        <v>0</v>
      </c>
      <c r="CI107" s="100">
        <f>BY107-BZ107</f>
        <v>0</v>
      </c>
      <c r="CJ107" s="100">
        <f>ROUND(SUMIF(AA103:AA105,"=34787475",GX103:GX105),0)</f>
        <v>0</v>
      </c>
      <c r="CK107" s="100">
        <f>ROUND(SUMIF(AA103:AA105,"=34787475",GY103:GY105),0)</f>
        <v>0</v>
      </c>
      <c r="CL107" s="100">
        <f>ROUND(SUMIF(AA103:AA105,"=34787475",GZ103:GZ105),0)</f>
        <v>0</v>
      </c>
      <c r="CM107" s="100">
        <f>ROUND(SUMIF(AA103:AA105,"=34787475",HD103:HD105),0)</f>
        <v>0</v>
      </c>
      <c r="CN107" s="100"/>
      <c r="CO107" s="100"/>
      <c r="CP107" s="100"/>
      <c r="CQ107" s="100"/>
      <c r="CR107" s="100"/>
      <c r="CS107" s="100"/>
      <c r="CT107" s="100"/>
      <c r="CU107" s="100"/>
      <c r="CV107" s="100"/>
      <c r="CW107" s="100"/>
      <c r="CX107" s="100"/>
      <c r="CY107" s="100"/>
      <c r="CZ107" s="100"/>
      <c r="DA107" s="100"/>
      <c r="DB107" s="100"/>
      <c r="DC107" s="100"/>
      <c r="DD107" s="100"/>
      <c r="DE107" s="100"/>
      <c r="DF107" s="100"/>
      <c r="DG107" s="98"/>
      <c r="DH107" s="98"/>
      <c r="DI107" s="98"/>
      <c r="DJ107" s="98"/>
      <c r="DK107" s="98"/>
      <c r="DL107" s="98"/>
      <c r="DM107" s="98"/>
      <c r="DN107" s="98"/>
      <c r="DO107" s="98"/>
      <c r="DP107" s="98"/>
      <c r="DQ107" s="98"/>
      <c r="DR107" s="98"/>
      <c r="DS107" s="98"/>
      <c r="DT107" s="98"/>
      <c r="DU107" s="98"/>
      <c r="DV107" s="98"/>
      <c r="DW107" s="98"/>
      <c r="DX107" s="98"/>
      <c r="DY107" s="98"/>
      <c r="DZ107" s="98"/>
      <c r="EA107" s="98"/>
      <c r="EB107" s="98"/>
      <c r="EC107" s="98"/>
      <c r="ED107" s="98"/>
      <c r="EE107" s="98"/>
      <c r="EF107" s="98"/>
      <c r="EG107" s="98"/>
      <c r="EH107" s="98"/>
      <c r="EI107" s="98"/>
      <c r="EJ107" s="98"/>
      <c r="EK107" s="98"/>
      <c r="EL107" s="98"/>
      <c r="EM107" s="98"/>
      <c r="EN107" s="98"/>
      <c r="EO107" s="98"/>
      <c r="EP107" s="98"/>
      <c r="EQ107" s="98"/>
      <c r="ER107" s="98"/>
      <c r="ES107" s="98"/>
      <c r="ET107" s="98"/>
      <c r="EU107" s="98"/>
      <c r="EV107" s="98"/>
      <c r="EW107" s="98"/>
      <c r="EX107" s="98"/>
      <c r="EY107" s="98"/>
      <c r="EZ107" s="98"/>
      <c r="FA107" s="98"/>
      <c r="FB107" s="98"/>
      <c r="FC107" s="98"/>
      <c r="FD107" s="98"/>
      <c r="FE107" s="98"/>
      <c r="FF107" s="98"/>
      <c r="FG107" s="98"/>
      <c r="FH107" s="98"/>
      <c r="FI107" s="98"/>
      <c r="FJ107" s="98"/>
      <c r="FK107" s="98"/>
      <c r="FL107" s="98"/>
      <c r="FM107" s="98"/>
      <c r="FN107" s="98"/>
      <c r="FO107" s="98"/>
      <c r="FP107" s="98"/>
      <c r="FQ107" s="98"/>
      <c r="FR107" s="98"/>
      <c r="FS107" s="98"/>
      <c r="FT107" s="98"/>
      <c r="FU107" s="98"/>
      <c r="FV107" s="98"/>
      <c r="FW107" s="98"/>
      <c r="FX107" s="98"/>
      <c r="FY107" s="98"/>
      <c r="FZ107" s="98"/>
      <c r="GA107" s="98"/>
      <c r="GB107" s="98"/>
      <c r="GC107" s="98"/>
      <c r="GD107" s="98"/>
      <c r="GE107" s="98"/>
      <c r="GF107" s="98"/>
      <c r="GG107" s="98"/>
      <c r="GH107" s="98"/>
      <c r="GI107" s="98"/>
      <c r="GJ107" s="98"/>
      <c r="GK107" s="98"/>
      <c r="GL107" s="98"/>
      <c r="GM107" s="98"/>
      <c r="GN107" s="98"/>
      <c r="GO107" s="98"/>
      <c r="GP107" s="98"/>
      <c r="GQ107" s="98"/>
      <c r="GR107" s="98"/>
      <c r="GS107" s="98"/>
      <c r="GT107" s="98"/>
      <c r="GU107" s="98"/>
      <c r="GV107" s="98"/>
      <c r="GW107" s="98"/>
      <c r="GX107" s="98">
        <v>0</v>
      </c>
    </row>
    <row r="109" spans="1:245" x14ac:dyDescent="0.2">
      <c r="A109" s="99">
        <v>50</v>
      </c>
      <c r="B109" s="99">
        <v>0</v>
      </c>
      <c r="C109" s="99">
        <v>0</v>
      </c>
      <c r="D109" s="99">
        <v>1</v>
      </c>
      <c r="E109" s="99">
        <v>201</v>
      </c>
      <c r="F109" s="99">
        <f>ROUND(Source!O107,O109)</f>
        <v>89710</v>
      </c>
      <c r="G109" s="99" t="s">
        <v>181</v>
      </c>
      <c r="H109" s="99" t="s">
        <v>13</v>
      </c>
      <c r="I109" s="99"/>
      <c r="J109" s="99"/>
      <c r="K109" s="99">
        <v>201</v>
      </c>
      <c r="L109" s="99">
        <v>1</v>
      </c>
      <c r="M109" s="99">
        <v>3</v>
      </c>
      <c r="N109" s="99" t="s">
        <v>74</v>
      </c>
      <c r="O109" s="99">
        <v>0</v>
      </c>
      <c r="P109" s="99"/>
      <c r="Q109" s="99"/>
      <c r="R109" s="99"/>
      <c r="S109" s="99"/>
      <c r="T109" s="99"/>
      <c r="U109" s="99"/>
      <c r="V109" s="99"/>
      <c r="W109" s="99">
        <v>89710</v>
      </c>
      <c r="X109" s="99">
        <v>1</v>
      </c>
      <c r="Y109" s="99">
        <v>89710</v>
      </c>
      <c r="Z109" s="99"/>
      <c r="AA109" s="99"/>
      <c r="AB109" s="99"/>
    </row>
    <row r="110" spans="1:245" x14ac:dyDescent="0.2">
      <c r="A110" s="99">
        <v>50</v>
      </c>
      <c r="B110" s="99">
        <v>0</v>
      </c>
      <c r="C110" s="99">
        <v>0</v>
      </c>
      <c r="D110" s="99">
        <v>1</v>
      </c>
      <c r="E110" s="99">
        <v>202</v>
      </c>
      <c r="F110" s="99">
        <f>ROUND(Source!P107,O110)</f>
        <v>0</v>
      </c>
      <c r="G110" s="99" t="s">
        <v>180</v>
      </c>
      <c r="H110" s="99" t="s">
        <v>179</v>
      </c>
      <c r="I110" s="99"/>
      <c r="J110" s="99"/>
      <c r="K110" s="99">
        <v>202</v>
      </c>
      <c r="L110" s="99">
        <v>2</v>
      </c>
      <c r="M110" s="99">
        <v>3</v>
      </c>
      <c r="N110" s="99" t="s">
        <v>74</v>
      </c>
      <c r="O110" s="99">
        <v>0</v>
      </c>
      <c r="P110" s="99"/>
      <c r="Q110" s="99"/>
      <c r="R110" s="99"/>
      <c r="S110" s="99"/>
      <c r="T110" s="99"/>
      <c r="U110" s="99"/>
      <c r="V110" s="99"/>
      <c r="W110" s="99">
        <v>0</v>
      </c>
      <c r="X110" s="99">
        <v>1</v>
      </c>
      <c r="Y110" s="99">
        <v>0</v>
      </c>
      <c r="Z110" s="99"/>
      <c r="AA110" s="99"/>
      <c r="AB110" s="99"/>
    </row>
    <row r="111" spans="1:245" x14ac:dyDescent="0.2">
      <c r="A111" s="99">
        <v>50</v>
      </c>
      <c r="B111" s="99">
        <v>0</v>
      </c>
      <c r="C111" s="99">
        <v>0</v>
      </c>
      <c r="D111" s="99">
        <v>1</v>
      </c>
      <c r="E111" s="99">
        <v>222</v>
      </c>
      <c r="F111" s="99">
        <f>ROUND(Source!AO107,O111)</f>
        <v>0</v>
      </c>
      <c r="G111" s="99" t="s">
        <v>178</v>
      </c>
      <c r="H111" s="99" t="s">
        <v>177</v>
      </c>
      <c r="I111" s="99"/>
      <c r="J111" s="99"/>
      <c r="K111" s="99">
        <v>222</v>
      </c>
      <c r="L111" s="99">
        <v>3</v>
      </c>
      <c r="M111" s="99">
        <v>3</v>
      </c>
      <c r="N111" s="99" t="s">
        <v>74</v>
      </c>
      <c r="O111" s="99">
        <v>0</v>
      </c>
      <c r="P111" s="99"/>
      <c r="Q111" s="99"/>
      <c r="R111" s="99"/>
      <c r="S111" s="99"/>
      <c r="T111" s="99"/>
      <c r="U111" s="99"/>
      <c r="V111" s="99"/>
      <c r="W111" s="99">
        <v>0</v>
      </c>
      <c r="X111" s="99">
        <v>1</v>
      </c>
      <c r="Y111" s="99">
        <v>0</v>
      </c>
      <c r="Z111" s="99"/>
      <c r="AA111" s="99"/>
      <c r="AB111" s="99"/>
    </row>
    <row r="112" spans="1:245" x14ac:dyDescent="0.2">
      <c r="A112" s="99">
        <v>50</v>
      </c>
      <c r="B112" s="99">
        <v>0</v>
      </c>
      <c r="C112" s="99">
        <v>0</v>
      </c>
      <c r="D112" s="99">
        <v>1</v>
      </c>
      <c r="E112" s="99">
        <v>225</v>
      </c>
      <c r="F112" s="99">
        <f>ROUND(Source!AV107,O112)</f>
        <v>0</v>
      </c>
      <c r="G112" s="99" t="s">
        <v>176</v>
      </c>
      <c r="H112" s="99" t="s">
        <v>175</v>
      </c>
      <c r="I112" s="99"/>
      <c r="J112" s="99"/>
      <c r="K112" s="99">
        <v>225</v>
      </c>
      <c r="L112" s="99">
        <v>4</v>
      </c>
      <c r="M112" s="99">
        <v>3</v>
      </c>
      <c r="N112" s="99" t="s">
        <v>74</v>
      </c>
      <c r="O112" s="99">
        <v>0</v>
      </c>
      <c r="P112" s="99"/>
      <c r="Q112" s="99"/>
      <c r="R112" s="99"/>
      <c r="S112" s="99"/>
      <c r="T112" s="99"/>
      <c r="U112" s="99"/>
      <c r="V112" s="99"/>
      <c r="W112" s="99">
        <v>0</v>
      </c>
      <c r="X112" s="99">
        <v>1</v>
      </c>
      <c r="Y112" s="99">
        <v>0</v>
      </c>
      <c r="Z112" s="99"/>
      <c r="AA112" s="99"/>
      <c r="AB112" s="99"/>
    </row>
    <row r="113" spans="1:28" x14ac:dyDescent="0.2">
      <c r="A113" s="99">
        <v>50</v>
      </c>
      <c r="B113" s="99">
        <v>0</v>
      </c>
      <c r="C113" s="99">
        <v>0</v>
      </c>
      <c r="D113" s="99">
        <v>1</v>
      </c>
      <c r="E113" s="99">
        <v>226</v>
      </c>
      <c r="F113" s="99">
        <f>ROUND(Source!AW107,O113)</f>
        <v>0</v>
      </c>
      <c r="G113" s="99" t="s">
        <v>174</v>
      </c>
      <c r="H113" s="99" t="s">
        <v>173</v>
      </c>
      <c r="I113" s="99"/>
      <c r="J113" s="99"/>
      <c r="K113" s="99">
        <v>226</v>
      </c>
      <c r="L113" s="99">
        <v>5</v>
      </c>
      <c r="M113" s="99">
        <v>3</v>
      </c>
      <c r="N113" s="99" t="s">
        <v>74</v>
      </c>
      <c r="O113" s="99">
        <v>0</v>
      </c>
      <c r="P113" s="99"/>
      <c r="Q113" s="99"/>
      <c r="R113" s="99"/>
      <c r="S113" s="99"/>
      <c r="T113" s="99"/>
      <c r="U113" s="99"/>
      <c r="V113" s="99"/>
      <c r="W113" s="99">
        <v>0</v>
      </c>
      <c r="X113" s="99">
        <v>1</v>
      </c>
      <c r="Y113" s="99">
        <v>0</v>
      </c>
      <c r="Z113" s="99"/>
      <c r="AA113" s="99"/>
      <c r="AB113" s="99"/>
    </row>
    <row r="114" spans="1:28" x14ac:dyDescent="0.2">
      <c r="A114" s="99">
        <v>50</v>
      </c>
      <c r="B114" s="99">
        <v>0</v>
      </c>
      <c r="C114" s="99">
        <v>0</v>
      </c>
      <c r="D114" s="99">
        <v>1</v>
      </c>
      <c r="E114" s="99">
        <v>227</v>
      </c>
      <c r="F114" s="99">
        <f>ROUND(Source!AX107,O114)</f>
        <v>0</v>
      </c>
      <c r="G114" s="99" t="s">
        <v>172</v>
      </c>
      <c r="H114" s="99" t="s">
        <v>171</v>
      </c>
      <c r="I114" s="99"/>
      <c r="J114" s="99"/>
      <c r="K114" s="99">
        <v>227</v>
      </c>
      <c r="L114" s="99">
        <v>6</v>
      </c>
      <c r="M114" s="99">
        <v>3</v>
      </c>
      <c r="N114" s="99" t="s">
        <v>74</v>
      </c>
      <c r="O114" s="99">
        <v>0</v>
      </c>
      <c r="P114" s="99"/>
      <c r="Q114" s="99"/>
      <c r="R114" s="99"/>
      <c r="S114" s="99"/>
      <c r="T114" s="99"/>
      <c r="U114" s="99"/>
      <c r="V114" s="99"/>
      <c r="W114" s="99">
        <v>0</v>
      </c>
      <c r="X114" s="99">
        <v>1</v>
      </c>
      <c r="Y114" s="99">
        <v>0</v>
      </c>
      <c r="Z114" s="99"/>
      <c r="AA114" s="99"/>
      <c r="AB114" s="99"/>
    </row>
    <row r="115" spans="1:28" x14ac:dyDescent="0.2">
      <c r="A115" s="99">
        <v>50</v>
      </c>
      <c r="B115" s="99">
        <v>0</v>
      </c>
      <c r="C115" s="99">
        <v>0</v>
      </c>
      <c r="D115" s="99">
        <v>1</v>
      </c>
      <c r="E115" s="99">
        <v>228</v>
      </c>
      <c r="F115" s="99">
        <f>ROUND(Source!AY107,O115)</f>
        <v>0</v>
      </c>
      <c r="G115" s="99" t="s">
        <v>170</v>
      </c>
      <c r="H115" s="99" t="s">
        <v>169</v>
      </c>
      <c r="I115" s="99"/>
      <c r="J115" s="99"/>
      <c r="K115" s="99">
        <v>228</v>
      </c>
      <c r="L115" s="99">
        <v>7</v>
      </c>
      <c r="M115" s="99">
        <v>3</v>
      </c>
      <c r="N115" s="99" t="s">
        <v>74</v>
      </c>
      <c r="O115" s="99">
        <v>0</v>
      </c>
      <c r="P115" s="99"/>
      <c r="Q115" s="99"/>
      <c r="R115" s="99"/>
      <c r="S115" s="99"/>
      <c r="T115" s="99"/>
      <c r="U115" s="99"/>
      <c r="V115" s="99"/>
      <c r="W115" s="99">
        <v>0</v>
      </c>
      <c r="X115" s="99">
        <v>1</v>
      </c>
      <c r="Y115" s="99">
        <v>0</v>
      </c>
      <c r="Z115" s="99"/>
      <c r="AA115" s="99"/>
      <c r="AB115" s="99"/>
    </row>
    <row r="116" spans="1:28" x14ac:dyDescent="0.2">
      <c r="A116" s="99">
        <v>50</v>
      </c>
      <c r="B116" s="99">
        <v>0</v>
      </c>
      <c r="C116" s="99">
        <v>0</v>
      </c>
      <c r="D116" s="99">
        <v>1</v>
      </c>
      <c r="E116" s="99">
        <v>216</v>
      </c>
      <c r="F116" s="99">
        <f>ROUND(Source!AP107,O116)</f>
        <v>0</v>
      </c>
      <c r="G116" s="99" t="s">
        <v>168</v>
      </c>
      <c r="H116" s="99" t="s">
        <v>167</v>
      </c>
      <c r="I116" s="99"/>
      <c r="J116" s="99"/>
      <c r="K116" s="99">
        <v>216</v>
      </c>
      <c r="L116" s="99">
        <v>8</v>
      </c>
      <c r="M116" s="99">
        <v>3</v>
      </c>
      <c r="N116" s="99" t="s">
        <v>74</v>
      </c>
      <c r="O116" s="99">
        <v>0</v>
      </c>
      <c r="P116" s="99"/>
      <c r="Q116" s="99"/>
      <c r="R116" s="99"/>
      <c r="S116" s="99"/>
      <c r="T116" s="99"/>
      <c r="U116" s="99"/>
      <c r="V116" s="99"/>
      <c r="W116" s="99">
        <v>0</v>
      </c>
      <c r="X116" s="99">
        <v>1</v>
      </c>
      <c r="Y116" s="99">
        <v>0</v>
      </c>
      <c r="Z116" s="99"/>
      <c r="AA116" s="99"/>
      <c r="AB116" s="99"/>
    </row>
    <row r="117" spans="1:28" x14ac:dyDescent="0.2">
      <c r="A117" s="99">
        <v>50</v>
      </c>
      <c r="B117" s="99">
        <v>0</v>
      </c>
      <c r="C117" s="99">
        <v>0</v>
      </c>
      <c r="D117" s="99">
        <v>1</v>
      </c>
      <c r="E117" s="99">
        <v>223</v>
      </c>
      <c r="F117" s="99">
        <f>ROUND(Source!AQ107,O117)</f>
        <v>0</v>
      </c>
      <c r="G117" s="99" t="s">
        <v>166</v>
      </c>
      <c r="H117" s="99" t="s">
        <v>165</v>
      </c>
      <c r="I117" s="99"/>
      <c r="J117" s="99"/>
      <c r="K117" s="99">
        <v>223</v>
      </c>
      <c r="L117" s="99">
        <v>9</v>
      </c>
      <c r="M117" s="99">
        <v>3</v>
      </c>
      <c r="N117" s="99" t="s">
        <v>74</v>
      </c>
      <c r="O117" s="99">
        <v>0</v>
      </c>
      <c r="P117" s="99"/>
      <c r="Q117" s="99"/>
      <c r="R117" s="99"/>
      <c r="S117" s="99"/>
      <c r="T117" s="99"/>
      <c r="U117" s="99"/>
      <c r="V117" s="99"/>
      <c r="W117" s="99">
        <v>0</v>
      </c>
      <c r="X117" s="99">
        <v>1</v>
      </c>
      <c r="Y117" s="99">
        <v>0</v>
      </c>
      <c r="Z117" s="99"/>
      <c r="AA117" s="99"/>
      <c r="AB117" s="99"/>
    </row>
    <row r="118" spans="1:28" x14ac:dyDescent="0.2">
      <c r="A118" s="99">
        <v>50</v>
      </c>
      <c r="B118" s="99">
        <v>0</v>
      </c>
      <c r="C118" s="99">
        <v>0</v>
      </c>
      <c r="D118" s="99">
        <v>1</v>
      </c>
      <c r="E118" s="99">
        <v>229</v>
      </c>
      <c r="F118" s="99">
        <f>ROUND(Source!AZ107,O118)</f>
        <v>0</v>
      </c>
      <c r="G118" s="99" t="s">
        <v>164</v>
      </c>
      <c r="H118" s="99" t="s">
        <v>163</v>
      </c>
      <c r="I118" s="99"/>
      <c r="J118" s="99"/>
      <c r="K118" s="99">
        <v>229</v>
      </c>
      <c r="L118" s="99">
        <v>10</v>
      </c>
      <c r="M118" s="99">
        <v>3</v>
      </c>
      <c r="N118" s="99" t="s">
        <v>74</v>
      </c>
      <c r="O118" s="99">
        <v>0</v>
      </c>
      <c r="P118" s="99"/>
      <c r="Q118" s="99"/>
      <c r="R118" s="99"/>
      <c r="S118" s="99"/>
      <c r="T118" s="99"/>
      <c r="U118" s="99"/>
      <c r="V118" s="99"/>
      <c r="W118" s="99">
        <v>0</v>
      </c>
      <c r="X118" s="99">
        <v>1</v>
      </c>
      <c r="Y118" s="99">
        <v>0</v>
      </c>
      <c r="Z118" s="99"/>
      <c r="AA118" s="99"/>
      <c r="AB118" s="99"/>
    </row>
    <row r="119" spans="1:28" x14ac:dyDescent="0.2">
      <c r="A119" s="99">
        <v>50</v>
      </c>
      <c r="B119" s="99">
        <v>0</v>
      </c>
      <c r="C119" s="99">
        <v>0</v>
      </c>
      <c r="D119" s="99">
        <v>1</v>
      </c>
      <c r="E119" s="99">
        <v>203</v>
      </c>
      <c r="F119" s="99">
        <f>ROUND(Source!Q107,O119)</f>
        <v>0</v>
      </c>
      <c r="G119" s="99" t="s">
        <v>162</v>
      </c>
      <c r="H119" s="99" t="s">
        <v>44</v>
      </c>
      <c r="I119" s="99"/>
      <c r="J119" s="99"/>
      <c r="K119" s="99">
        <v>203</v>
      </c>
      <c r="L119" s="99">
        <v>11</v>
      </c>
      <c r="M119" s="99">
        <v>3</v>
      </c>
      <c r="N119" s="99" t="s">
        <v>74</v>
      </c>
      <c r="O119" s="99">
        <v>0</v>
      </c>
      <c r="P119" s="99"/>
      <c r="Q119" s="99"/>
      <c r="R119" s="99"/>
      <c r="S119" s="99"/>
      <c r="T119" s="99"/>
      <c r="U119" s="99"/>
      <c r="V119" s="99"/>
      <c r="W119" s="99">
        <v>0</v>
      </c>
      <c r="X119" s="99">
        <v>1</v>
      </c>
      <c r="Y119" s="99">
        <v>0</v>
      </c>
      <c r="Z119" s="99"/>
      <c r="AA119" s="99"/>
      <c r="AB119" s="99"/>
    </row>
    <row r="120" spans="1:28" x14ac:dyDescent="0.2">
      <c r="A120" s="99">
        <v>50</v>
      </c>
      <c r="B120" s="99">
        <v>0</v>
      </c>
      <c r="C120" s="99">
        <v>0</v>
      </c>
      <c r="D120" s="99">
        <v>1</v>
      </c>
      <c r="E120" s="99">
        <v>231</v>
      </c>
      <c r="F120" s="99">
        <f>ROUND(Source!BB107,O120)</f>
        <v>0</v>
      </c>
      <c r="G120" s="99" t="s">
        <v>161</v>
      </c>
      <c r="H120" s="99" t="s">
        <v>160</v>
      </c>
      <c r="I120" s="99"/>
      <c r="J120" s="99"/>
      <c r="K120" s="99">
        <v>231</v>
      </c>
      <c r="L120" s="99">
        <v>12</v>
      </c>
      <c r="M120" s="99">
        <v>3</v>
      </c>
      <c r="N120" s="99" t="s">
        <v>74</v>
      </c>
      <c r="O120" s="99">
        <v>0</v>
      </c>
      <c r="P120" s="99"/>
      <c r="Q120" s="99"/>
      <c r="R120" s="99"/>
      <c r="S120" s="99"/>
      <c r="T120" s="99"/>
      <c r="U120" s="99"/>
      <c r="V120" s="99"/>
      <c r="W120" s="99">
        <v>0</v>
      </c>
      <c r="X120" s="99">
        <v>1</v>
      </c>
      <c r="Y120" s="99">
        <v>0</v>
      </c>
      <c r="Z120" s="99"/>
      <c r="AA120" s="99"/>
      <c r="AB120" s="99"/>
    </row>
    <row r="121" spans="1:28" x14ac:dyDescent="0.2">
      <c r="A121" s="99">
        <v>50</v>
      </c>
      <c r="B121" s="99">
        <v>0</v>
      </c>
      <c r="C121" s="99">
        <v>0</v>
      </c>
      <c r="D121" s="99">
        <v>1</v>
      </c>
      <c r="E121" s="99">
        <v>204</v>
      </c>
      <c r="F121" s="99">
        <f>ROUND(Source!R107,O121)</f>
        <v>0</v>
      </c>
      <c r="G121" s="99" t="s">
        <v>159</v>
      </c>
      <c r="H121" s="99" t="s">
        <v>158</v>
      </c>
      <c r="I121" s="99"/>
      <c r="J121" s="99"/>
      <c r="K121" s="99">
        <v>204</v>
      </c>
      <c r="L121" s="99">
        <v>13</v>
      </c>
      <c r="M121" s="99">
        <v>3</v>
      </c>
      <c r="N121" s="99" t="s">
        <v>74</v>
      </c>
      <c r="O121" s="99">
        <v>0</v>
      </c>
      <c r="P121" s="99"/>
      <c r="Q121" s="99"/>
      <c r="R121" s="99"/>
      <c r="S121" s="99"/>
      <c r="T121" s="99"/>
      <c r="U121" s="99"/>
      <c r="V121" s="99"/>
      <c r="W121" s="99">
        <v>0</v>
      </c>
      <c r="X121" s="99">
        <v>1</v>
      </c>
      <c r="Y121" s="99">
        <v>0</v>
      </c>
      <c r="Z121" s="99"/>
      <c r="AA121" s="99"/>
      <c r="AB121" s="99"/>
    </row>
    <row r="122" spans="1:28" x14ac:dyDescent="0.2">
      <c r="A122" s="99">
        <v>50</v>
      </c>
      <c r="B122" s="99">
        <v>0</v>
      </c>
      <c r="C122" s="99">
        <v>0</v>
      </c>
      <c r="D122" s="99">
        <v>1</v>
      </c>
      <c r="E122" s="99">
        <v>205</v>
      </c>
      <c r="F122" s="99">
        <f>ROUND(Source!S107,O122)</f>
        <v>89710</v>
      </c>
      <c r="G122" s="99" t="s">
        <v>157</v>
      </c>
      <c r="H122" s="99" t="s">
        <v>156</v>
      </c>
      <c r="I122" s="99"/>
      <c r="J122" s="99"/>
      <c r="K122" s="99">
        <v>205</v>
      </c>
      <c r="L122" s="99">
        <v>14</v>
      </c>
      <c r="M122" s="99">
        <v>3</v>
      </c>
      <c r="N122" s="99" t="s">
        <v>74</v>
      </c>
      <c r="O122" s="99">
        <v>0</v>
      </c>
      <c r="P122" s="99"/>
      <c r="Q122" s="99"/>
      <c r="R122" s="99"/>
      <c r="S122" s="99"/>
      <c r="T122" s="99"/>
      <c r="U122" s="99"/>
      <c r="V122" s="99"/>
      <c r="W122" s="99">
        <v>89710</v>
      </c>
      <c r="X122" s="99">
        <v>1</v>
      </c>
      <c r="Y122" s="99">
        <v>89710</v>
      </c>
      <c r="Z122" s="99"/>
      <c r="AA122" s="99"/>
      <c r="AB122" s="99"/>
    </row>
    <row r="123" spans="1:28" x14ac:dyDescent="0.2">
      <c r="A123" s="99">
        <v>50</v>
      </c>
      <c r="B123" s="99">
        <v>0</v>
      </c>
      <c r="C123" s="99">
        <v>0</v>
      </c>
      <c r="D123" s="99">
        <v>1</v>
      </c>
      <c r="E123" s="99">
        <v>232</v>
      </c>
      <c r="F123" s="99">
        <f>ROUND(Source!BC107,O123)</f>
        <v>0</v>
      </c>
      <c r="G123" s="99" t="s">
        <v>155</v>
      </c>
      <c r="H123" s="99" t="s">
        <v>154</v>
      </c>
      <c r="I123" s="99"/>
      <c r="J123" s="99"/>
      <c r="K123" s="99">
        <v>232</v>
      </c>
      <c r="L123" s="99">
        <v>15</v>
      </c>
      <c r="M123" s="99">
        <v>3</v>
      </c>
      <c r="N123" s="99" t="s">
        <v>74</v>
      </c>
      <c r="O123" s="99">
        <v>0</v>
      </c>
      <c r="P123" s="99"/>
      <c r="Q123" s="99"/>
      <c r="R123" s="99"/>
      <c r="S123" s="99"/>
      <c r="T123" s="99"/>
      <c r="U123" s="99"/>
      <c r="V123" s="99"/>
      <c r="W123" s="99">
        <v>0</v>
      </c>
      <c r="X123" s="99">
        <v>1</v>
      </c>
      <c r="Y123" s="99">
        <v>0</v>
      </c>
      <c r="Z123" s="99"/>
      <c r="AA123" s="99"/>
      <c r="AB123" s="99"/>
    </row>
    <row r="124" spans="1:28" x14ac:dyDescent="0.2">
      <c r="A124" s="99">
        <v>50</v>
      </c>
      <c r="B124" s="99">
        <v>0</v>
      </c>
      <c r="C124" s="99">
        <v>0</v>
      </c>
      <c r="D124" s="99">
        <v>1</v>
      </c>
      <c r="E124" s="99">
        <v>214</v>
      </c>
      <c r="F124" s="99">
        <f>ROUND(Source!AS107,O124)</f>
        <v>0</v>
      </c>
      <c r="G124" s="99" t="s">
        <v>153</v>
      </c>
      <c r="H124" s="99" t="s">
        <v>152</v>
      </c>
      <c r="I124" s="99"/>
      <c r="J124" s="99"/>
      <c r="K124" s="99">
        <v>214</v>
      </c>
      <c r="L124" s="99">
        <v>16</v>
      </c>
      <c r="M124" s="99">
        <v>3</v>
      </c>
      <c r="N124" s="99" t="s">
        <v>74</v>
      </c>
      <c r="O124" s="99">
        <v>0</v>
      </c>
      <c r="P124" s="99"/>
      <c r="Q124" s="99"/>
      <c r="R124" s="99"/>
      <c r="S124" s="99"/>
      <c r="T124" s="99"/>
      <c r="U124" s="99"/>
      <c r="V124" s="99"/>
      <c r="W124" s="99">
        <v>0</v>
      </c>
      <c r="X124" s="99">
        <v>1</v>
      </c>
      <c r="Y124" s="99">
        <v>0</v>
      </c>
      <c r="Z124" s="99"/>
      <c r="AA124" s="99"/>
      <c r="AB124" s="99"/>
    </row>
    <row r="125" spans="1:28" x14ac:dyDescent="0.2">
      <c r="A125" s="99">
        <v>50</v>
      </c>
      <c r="B125" s="99">
        <v>0</v>
      </c>
      <c r="C125" s="99">
        <v>0</v>
      </c>
      <c r="D125" s="99">
        <v>1</v>
      </c>
      <c r="E125" s="99">
        <v>215</v>
      </c>
      <c r="F125" s="99">
        <f>ROUND(Source!AT107,O125)</f>
        <v>0</v>
      </c>
      <c r="G125" s="99" t="s">
        <v>151</v>
      </c>
      <c r="H125" s="99" t="s">
        <v>150</v>
      </c>
      <c r="I125" s="99"/>
      <c r="J125" s="99"/>
      <c r="K125" s="99">
        <v>215</v>
      </c>
      <c r="L125" s="99">
        <v>17</v>
      </c>
      <c r="M125" s="99">
        <v>3</v>
      </c>
      <c r="N125" s="99" t="s">
        <v>74</v>
      </c>
      <c r="O125" s="99">
        <v>0</v>
      </c>
      <c r="P125" s="99"/>
      <c r="Q125" s="99"/>
      <c r="R125" s="99"/>
      <c r="S125" s="99"/>
      <c r="T125" s="99"/>
      <c r="U125" s="99"/>
      <c r="V125" s="99"/>
      <c r="W125" s="99">
        <v>0</v>
      </c>
      <c r="X125" s="99">
        <v>1</v>
      </c>
      <c r="Y125" s="99">
        <v>0</v>
      </c>
      <c r="Z125" s="99"/>
      <c r="AA125" s="99"/>
      <c r="AB125" s="99"/>
    </row>
    <row r="126" spans="1:28" x14ac:dyDescent="0.2">
      <c r="A126" s="99">
        <v>50</v>
      </c>
      <c r="B126" s="99">
        <v>0</v>
      </c>
      <c r="C126" s="99">
        <v>0</v>
      </c>
      <c r="D126" s="99">
        <v>1</v>
      </c>
      <c r="E126" s="99">
        <v>217</v>
      </c>
      <c r="F126" s="99">
        <f>ROUND(Source!AU107,O126)</f>
        <v>188391</v>
      </c>
      <c r="G126" s="99" t="s">
        <v>149</v>
      </c>
      <c r="H126" s="99" t="s">
        <v>148</v>
      </c>
      <c r="I126" s="99"/>
      <c r="J126" s="99"/>
      <c r="K126" s="99">
        <v>217</v>
      </c>
      <c r="L126" s="99">
        <v>18</v>
      </c>
      <c r="M126" s="99">
        <v>3</v>
      </c>
      <c r="N126" s="99" t="s">
        <v>74</v>
      </c>
      <c r="O126" s="99">
        <v>0</v>
      </c>
      <c r="P126" s="99"/>
      <c r="Q126" s="99"/>
      <c r="R126" s="99"/>
      <c r="S126" s="99"/>
      <c r="T126" s="99"/>
      <c r="U126" s="99"/>
      <c r="V126" s="99"/>
      <c r="W126" s="99">
        <v>188391</v>
      </c>
      <c r="X126" s="99">
        <v>1</v>
      </c>
      <c r="Y126" s="99">
        <v>188391</v>
      </c>
      <c r="Z126" s="99"/>
      <c r="AA126" s="99"/>
      <c r="AB126" s="99"/>
    </row>
    <row r="127" spans="1:28" x14ac:dyDescent="0.2">
      <c r="A127" s="99">
        <v>50</v>
      </c>
      <c r="B127" s="99">
        <v>0</v>
      </c>
      <c r="C127" s="99">
        <v>0</v>
      </c>
      <c r="D127" s="99">
        <v>1</v>
      </c>
      <c r="E127" s="99">
        <v>230</v>
      </c>
      <c r="F127" s="99">
        <f>ROUND(Source!BA107,O127)</f>
        <v>0</v>
      </c>
      <c r="G127" s="99" t="s">
        <v>147</v>
      </c>
      <c r="H127" s="99" t="s">
        <v>146</v>
      </c>
      <c r="I127" s="99"/>
      <c r="J127" s="99"/>
      <c r="K127" s="99">
        <v>230</v>
      </c>
      <c r="L127" s="99">
        <v>19</v>
      </c>
      <c r="M127" s="99">
        <v>3</v>
      </c>
      <c r="N127" s="99" t="s">
        <v>74</v>
      </c>
      <c r="O127" s="99">
        <v>0</v>
      </c>
      <c r="P127" s="99"/>
      <c r="Q127" s="99"/>
      <c r="R127" s="99"/>
      <c r="S127" s="99"/>
      <c r="T127" s="99"/>
      <c r="U127" s="99"/>
      <c r="V127" s="99"/>
      <c r="W127" s="99">
        <v>0</v>
      </c>
      <c r="X127" s="99">
        <v>1</v>
      </c>
      <c r="Y127" s="99">
        <v>0</v>
      </c>
      <c r="Z127" s="99"/>
      <c r="AA127" s="99"/>
      <c r="AB127" s="99"/>
    </row>
    <row r="128" spans="1:28" x14ac:dyDescent="0.2">
      <c r="A128" s="99">
        <v>50</v>
      </c>
      <c r="B128" s="99">
        <v>0</v>
      </c>
      <c r="C128" s="99">
        <v>0</v>
      </c>
      <c r="D128" s="99">
        <v>1</v>
      </c>
      <c r="E128" s="99">
        <v>206</v>
      </c>
      <c r="F128" s="99">
        <f>ROUND(Source!T107,O128)</f>
        <v>0</v>
      </c>
      <c r="G128" s="99" t="s">
        <v>145</v>
      </c>
      <c r="H128" s="99" t="s">
        <v>60</v>
      </c>
      <c r="I128" s="99"/>
      <c r="J128" s="99"/>
      <c r="K128" s="99">
        <v>206</v>
      </c>
      <c r="L128" s="99">
        <v>20</v>
      </c>
      <c r="M128" s="99">
        <v>3</v>
      </c>
      <c r="N128" s="99" t="s">
        <v>74</v>
      </c>
      <c r="O128" s="99">
        <v>0</v>
      </c>
      <c r="P128" s="99"/>
      <c r="Q128" s="99"/>
      <c r="R128" s="99"/>
      <c r="S128" s="99"/>
      <c r="T128" s="99"/>
      <c r="U128" s="99"/>
      <c r="V128" s="99"/>
      <c r="W128" s="99">
        <v>0</v>
      </c>
      <c r="X128" s="99">
        <v>1</v>
      </c>
      <c r="Y128" s="99">
        <v>0</v>
      </c>
      <c r="Z128" s="99"/>
      <c r="AA128" s="99"/>
      <c r="AB128" s="99"/>
    </row>
    <row r="129" spans="1:206" x14ac:dyDescent="0.2">
      <c r="A129" s="99">
        <v>50</v>
      </c>
      <c r="B129" s="99">
        <v>0</v>
      </c>
      <c r="C129" s="99">
        <v>0</v>
      </c>
      <c r="D129" s="99">
        <v>1</v>
      </c>
      <c r="E129" s="99">
        <v>207</v>
      </c>
      <c r="F129" s="99">
        <f>Source!U107</f>
        <v>240.51</v>
      </c>
      <c r="G129" s="99" t="s">
        <v>144</v>
      </c>
      <c r="H129" s="99" t="s">
        <v>143</v>
      </c>
      <c r="I129" s="99"/>
      <c r="J129" s="99"/>
      <c r="K129" s="99">
        <v>207</v>
      </c>
      <c r="L129" s="99">
        <v>21</v>
      </c>
      <c r="M129" s="99">
        <v>3</v>
      </c>
      <c r="N129" s="99" t="s">
        <v>74</v>
      </c>
      <c r="O129" s="99">
        <v>-1</v>
      </c>
      <c r="P129" s="99"/>
      <c r="Q129" s="99"/>
      <c r="R129" s="99"/>
      <c r="S129" s="99"/>
      <c r="T129" s="99"/>
      <c r="U129" s="99"/>
      <c r="V129" s="99"/>
      <c r="W129" s="99">
        <v>240.51</v>
      </c>
      <c r="X129" s="99">
        <v>1</v>
      </c>
      <c r="Y129" s="99">
        <v>240.51</v>
      </c>
      <c r="Z129" s="99"/>
      <c r="AA129" s="99"/>
      <c r="AB129" s="99"/>
    </row>
    <row r="130" spans="1:206" x14ac:dyDescent="0.2">
      <c r="A130" s="99">
        <v>50</v>
      </c>
      <c r="B130" s="99">
        <v>0</v>
      </c>
      <c r="C130" s="99">
        <v>0</v>
      </c>
      <c r="D130" s="99">
        <v>1</v>
      </c>
      <c r="E130" s="99">
        <v>208</v>
      </c>
      <c r="F130" s="99">
        <f>Source!V107</f>
        <v>0</v>
      </c>
      <c r="G130" s="99" t="s">
        <v>142</v>
      </c>
      <c r="H130" s="99" t="s">
        <v>141</v>
      </c>
      <c r="I130" s="99"/>
      <c r="J130" s="99"/>
      <c r="K130" s="99">
        <v>208</v>
      </c>
      <c r="L130" s="99">
        <v>22</v>
      </c>
      <c r="M130" s="99">
        <v>3</v>
      </c>
      <c r="N130" s="99" t="s">
        <v>74</v>
      </c>
      <c r="O130" s="99">
        <v>-1</v>
      </c>
      <c r="P130" s="99"/>
      <c r="Q130" s="99"/>
      <c r="R130" s="99"/>
      <c r="S130" s="99"/>
      <c r="T130" s="99"/>
      <c r="U130" s="99"/>
      <c r="V130" s="99"/>
      <c r="W130" s="99">
        <v>0</v>
      </c>
      <c r="X130" s="99">
        <v>1</v>
      </c>
      <c r="Y130" s="99">
        <v>0</v>
      </c>
      <c r="Z130" s="99"/>
      <c r="AA130" s="99"/>
      <c r="AB130" s="99"/>
    </row>
    <row r="131" spans="1:206" x14ac:dyDescent="0.2">
      <c r="A131" s="99">
        <v>50</v>
      </c>
      <c r="B131" s="99">
        <v>0</v>
      </c>
      <c r="C131" s="99">
        <v>0</v>
      </c>
      <c r="D131" s="99">
        <v>1</v>
      </c>
      <c r="E131" s="99">
        <v>209</v>
      </c>
      <c r="F131" s="99">
        <f>ROUND(Source!W107,O131)</f>
        <v>0</v>
      </c>
      <c r="G131" s="99" t="s">
        <v>140</v>
      </c>
      <c r="H131" s="99" t="s">
        <v>139</v>
      </c>
      <c r="I131" s="99"/>
      <c r="J131" s="99"/>
      <c r="K131" s="99">
        <v>209</v>
      </c>
      <c r="L131" s="99">
        <v>23</v>
      </c>
      <c r="M131" s="99">
        <v>3</v>
      </c>
      <c r="N131" s="99" t="s">
        <v>74</v>
      </c>
      <c r="O131" s="99">
        <v>0</v>
      </c>
      <c r="P131" s="99"/>
      <c r="Q131" s="99"/>
      <c r="R131" s="99"/>
      <c r="S131" s="99"/>
      <c r="T131" s="99"/>
      <c r="U131" s="99"/>
      <c r="V131" s="99"/>
      <c r="W131" s="99">
        <v>0</v>
      </c>
      <c r="X131" s="99">
        <v>1</v>
      </c>
      <c r="Y131" s="99">
        <v>0</v>
      </c>
      <c r="Z131" s="99"/>
      <c r="AA131" s="99"/>
      <c r="AB131" s="99"/>
    </row>
    <row r="132" spans="1:206" x14ac:dyDescent="0.2">
      <c r="A132" s="99">
        <v>50</v>
      </c>
      <c r="B132" s="99">
        <v>0</v>
      </c>
      <c r="C132" s="99">
        <v>0</v>
      </c>
      <c r="D132" s="99">
        <v>1</v>
      </c>
      <c r="E132" s="99">
        <v>233</v>
      </c>
      <c r="F132" s="99">
        <f>ROUND(Source!BD107,O132)</f>
        <v>0</v>
      </c>
      <c r="G132" s="99" t="s">
        <v>138</v>
      </c>
      <c r="H132" s="99" t="s">
        <v>137</v>
      </c>
      <c r="I132" s="99"/>
      <c r="J132" s="99"/>
      <c r="K132" s="99">
        <v>233</v>
      </c>
      <c r="L132" s="99">
        <v>24</v>
      </c>
      <c r="M132" s="99">
        <v>3</v>
      </c>
      <c r="N132" s="99" t="s">
        <v>74</v>
      </c>
      <c r="O132" s="99">
        <v>0</v>
      </c>
      <c r="P132" s="99"/>
      <c r="Q132" s="99"/>
      <c r="R132" s="99"/>
      <c r="S132" s="99"/>
      <c r="T132" s="99"/>
      <c r="U132" s="99"/>
      <c r="V132" s="99"/>
      <c r="W132" s="99">
        <v>0</v>
      </c>
      <c r="X132" s="99">
        <v>1</v>
      </c>
      <c r="Y132" s="99">
        <v>0</v>
      </c>
      <c r="Z132" s="99"/>
      <c r="AA132" s="99"/>
      <c r="AB132" s="99"/>
    </row>
    <row r="133" spans="1:206" x14ac:dyDescent="0.2">
      <c r="A133" s="99">
        <v>50</v>
      </c>
      <c r="B133" s="99">
        <v>0</v>
      </c>
      <c r="C133" s="99">
        <v>0</v>
      </c>
      <c r="D133" s="99">
        <v>1</v>
      </c>
      <c r="E133" s="99">
        <v>210</v>
      </c>
      <c r="F133" s="99">
        <f>ROUND(Source!X107,O133)</f>
        <v>66385</v>
      </c>
      <c r="G133" s="99" t="s">
        <v>136</v>
      </c>
      <c r="H133" s="99" t="s">
        <v>135</v>
      </c>
      <c r="I133" s="99"/>
      <c r="J133" s="99"/>
      <c r="K133" s="99">
        <v>210</v>
      </c>
      <c r="L133" s="99">
        <v>25</v>
      </c>
      <c r="M133" s="99">
        <v>3</v>
      </c>
      <c r="N133" s="99" t="s">
        <v>74</v>
      </c>
      <c r="O133" s="99">
        <v>0</v>
      </c>
      <c r="P133" s="99"/>
      <c r="Q133" s="99"/>
      <c r="R133" s="99"/>
      <c r="S133" s="99"/>
      <c r="T133" s="99"/>
      <c r="U133" s="99"/>
      <c r="V133" s="99"/>
      <c r="W133" s="99">
        <v>66385</v>
      </c>
      <c r="X133" s="99">
        <v>1</v>
      </c>
      <c r="Y133" s="99">
        <v>66385</v>
      </c>
      <c r="Z133" s="99"/>
      <c r="AA133" s="99"/>
      <c r="AB133" s="99"/>
    </row>
    <row r="134" spans="1:206" x14ac:dyDescent="0.2">
      <c r="A134" s="99">
        <v>50</v>
      </c>
      <c r="B134" s="99">
        <v>0</v>
      </c>
      <c r="C134" s="99">
        <v>0</v>
      </c>
      <c r="D134" s="99">
        <v>1</v>
      </c>
      <c r="E134" s="99">
        <v>211</v>
      </c>
      <c r="F134" s="99">
        <f>ROUND(Source!Y107,O134)</f>
        <v>32296</v>
      </c>
      <c r="G134" s="99" t="s">
        <v>134</v>
      </c>
      <c r="H134" s="99" t="s">
        <v>133</v>
      </c>
      <c r="I134" s="99"/>
      <c r="J134" s="99"/>
      <c r="K134" s="99">
        <v>211</v>
      </c>
      <c r="L134" s="99">
        <v>26</v>
      </c>
      <c r="M134" s="99">
        <v>3</v>
      </c>
      <c r="N134" s="99" t="s">
        <v>74</v>
      </c>
      <c r="O134" s="99">
        <v>0</v>
      </c>
      <c r="P134" s="99"/>
      <c r="Q134" s="99"/>
      <c r="R134" s="99"/>
      <c r="S134" s="99"/>
      <c r="T134" s="99"/>
      <c r="U134" s="99"/>
      <c r="V134" s="99"/>
      <c r="W134" s="99">
        <v>32296</v>
      </c>
      <c r="X134" s="99">
        <v>1</v>
      </c>
      <c r="Y134" s="99">
        <v>32296</v>
      </c>
      <c r="Z134" s="99"/>
      <c r="AA134" s="99"/>
      <c r="AB134" s="99"/>
    </row>
    <row r="135" spans="1:206" x14ac:dyDescent="0.2">
      <c r="A135" s="99">
        <v>50</v>
      </c>
      <c r="B135" s="99">
        <v>0</v>
      </c>
      <c r="C135" s="99">
        <v>0</v>
      </c>
      <c r="D135" s="99">
        <v>1</v>
      </c>
      <c r="E135" s="99">
        <v>224</v>
      </c>
      <c r="F135" s="99">
        <f>ROUND(Source!AR107,O135)</f>
        <v>188391</v>
      </c>
      <c r="G135" s="99" t="s">
        <v>132</v>
      </c>
      <c r="H135" s="99" t="s">
        <v>131</v>
      </c>
      <c r="I135" s="99"/>
      <c r="J135" s="99"/>
      <c r="K135" s="99">
        <v>224</v>
      </c>
      <c r="L135" s="99">
        <v>27</v>
      </c>
      <c r="M135" s="99">
        <v>3</v>
      </c>
      <c r="N135" s="99" t="s">
        <v>74</v>
      </c>
      <c r="O135" s="99">
        <v>0</v>
      </c>
      <c r="P135" s="99"/>
      <c r="Q135" s="99"/>
      <c r="R135" s="99"/>
      <c r="S135" s="99"/>
      <c r="T135" s="99"/>
      <c r="U135" s="99"/>
      <c r="V135" s="99"/>
      <c r="W135" s="99">
        <v>188391</v>
      </c>
      <c r="X135" s="99">
        <v>1</v>
      </c>
      <c r="Y135" s="99">
        <v>188391</v>
      </c>
      <c r="Z135" s="99"/>
      <c r="AA135" s="99"/>
      <c r="AB135" s="99"/>
    </row>
    <row r="137" spans="1:206" x14ac:dyDescent="0.2">
      <c r="A137" s="100">
        <v>51</v>
      </c>
      <c r="B137" s="100">
        <f>B20</f>
        <v>1</v>
      </c>
      <c r="C137" s="100">
        <f>A20</f>
        <v>3</v>
      </c>
      <c r="D137" s="100">
        <f>ROW(A20)</f>
        <v>20</v>
      </c>
      <c r="E137" s="100"/>
      <c r="F137" s="100" t="str">
        <f>IF(F20&lt;&gt;"",F20,"")</f>
        <v>Новая локальная смета</v>
      </c>
      <c r="G137" s="100" t="str">
        <f>IF(G20&lt;&gt;"",G20,"")</f>
        <v>Новая локальная смета</v>
      </c>
      <c r="H137" s="100">
        <v>0</v>
      </c>
      <c r="I137" s="100"/>
      <c r="J137" s="100"/>
      <c r="K137" s="100"/>
      <c r="L137" s="100"/>
      <c r="M137" s="100"/>
      <c r="N137" s="100"/>
      <c r="O137" s="100">
        <f>ROUND(O33+O69+O107+AB137,0)</f>
        <v>310429</v>
      </c>
      <c r="P137" s="100">
        <f>ROUND(P33+P69+P107+AC137,0)</f>
        <v>215893</v>
      </c>
      <c r="Q137" s="100">
        <f>ROUND(Q33+Q69+Q107+AD137,0)</f>
        <v>651</v>
      </c>
      <c r="R137" s="100">
        <f>ROUND(R33+R69+R107+AE137,0)</f>
        <v>211</v>
      </c>
      <c r="S137" s="100">
        <f>ROUND(S33+S69+S107+AF137,0)</f>
        <v>93885</v>
      </c>
      <c r="T137" s="100">
        <f>ROUND(T33+T69+T107+AG137,0)</f>
        <v>0</v>
      </c>
      <c r="U137" s="100">
        <f>U33+U69+U107+AH137</f>
        <v>256.52350000000001</v>
      </c>
      <c r="V137" s="100">
        <f>V33+V69+V107+AI137</f>
        <v>0.77059999999999995</v>
      </c>
      <c r="W137" s="100">
        <f>ROUND(W33+W69+W107+AJ137,0)</f>
        <v>0</v>
      </c>
      <c r="X137" s="100">
        <f>ROUND(X33+X69+X107+AK137,0)</f>
        <v>70534</v>
      </c>
      <c r="Y137" s="100">
        <f>ROUND(Y33+Y69+Y107+AL137,0)</f>
        <v>34590</v>
      </c>
      <c r="Z137" s="100"/>
      <c r="AA137" s="100"/>
      <c r="AB137" s="100"/>
      <c r="AC137" s="100"/>
      <c r="AD137" s="100"/>
      <c r="AE137" s="100"/>
      <c r="AF137" s="100"/>
      <c r="AG137" s="100"/>
      <c r="AH137" s="100"/>
      <c r="AI137" s="100"/>
      <c r="AJ137" s="100"/>
      <c r="AK137" s="100"/>
      <c r="AL137" s="100"/>
      <c r="AM137" s="100"/>
      <c r="AN137" s="100"/>
      <c r="AO137" s="100">
        <f>ROUND(AO33+AO69+AO107+BX137,0)</f>
        <v>0</v>
      </c>
      <c r="AP137" s="100">
        <f>ROUND(AP33+AP69+AP107+BY137,0)</f>
        <v>213805</v>
      </c>
      <c r="AQ137" s="100">
        <f>ROUND(AQ33+AQ69+AQ107+BZ137,0)</f>
        <v>0</v>
      </c>
      <c r="AR137" s="100">
        <f>ROUND(AR33+AR69+AR107+CA137,0)</f>
        <v>415553</v>
      </c>
      <c r="AS137" s="100">
        <f>ROUND(AS33+AS69+AS107+CB137,0)</f>
        <v>0</v>
      </c>
      <c r="AT137" s="100">
        <f>ROUND(AT33+AT69+AT107+CC137,0)</f>
        <v>13357</v>
      </c>
      <c r="AU137" s="100">
        <f>ROUND(AU33+AU69+AU107+CD137,0)</f>
        <v>188391</v>
      </c>
      <c r="AV137" s="100">
        <f>ROUND(AV33+AV69+AV107+CE137,0)</f>
        <v>215893</v>
      </c>
      <c r="AW137" s="100">
        <f>ROUND(AW33+AW69+AW107+CF137,0)</f>
        <v>2088</v>
      </c>
      <c r="AX137" s="100">
        <f>ROUND(AX33+AX69+AX107+CG137,0)</f>
        <v>0</v>
      </c>
      <c r="AY137" s="100">
        <f>ROUND(AY33+AY69+AY107+CH137,0)</f>
        <v>2088</v>
      </c>
      <c r="AZ137" s="100">
        <f>ROUND(AZ33+AZ69+AZ107+CI137,0)</f>
        <v>213805</v>
      </c>
      <c r="BA137" s="100">
        <f>ROUND(BA33+BA69+BA107+CJ137,0)</f>
        <v>0</v>
      </c>
      <c r="BB137" s="100">
        <f>ROUND(BB33+BB69+BB107+CK137,0)</f>
        <v>0</v>
      </c>
      <c r="BC137" s="100">
        <f>ROUND(BC33+BC69+BC107+CL137,0)</f>
        <v>0</v>
      </c>
      <c r="BD137" s="100">
        <f>ROUND(BD33+BD69+BD107+CM137,0)</f>
        <v>0</v>
      </c>
      <c r="BE137" s="100"/>
      <c r="BF137" s="100"/>
      <c r="BG137" s="100"/>
      <c r="BH137" s="100"/>
      <c r="BI137" s="100"/>
      <c r="BJ137" s="100"/>
      <c r="BK137" s="100"/>
      <c r="BL137" s="100"/>
      <c r="BM137" s="100"/>
      <c r="BN137" s="100"/>
      <c r="BO137" s="100"/>
      <c r="BP137" s="100"/>
      <c r="BQ137" s="100"/>
      <c r="BR137" s="100"/>
      <c r="BS137" s="100"/>
      <c r="BT137" s="100"/>
      <c r="BU137" s="100"/>
      <c r="BV137" s="100"/>
      <c r="BW137" s="100"/>
      <c r="BX137" s="100"/>
      <c r="BY137" s="100"/>
      <c r="BZ137" s="100"/>
      <c r="CA137" s="100"/>
      <c r="CB137" s="100"/>
      <c r="CC137" s="100"/>
      <c r="CD137" s="100"/>
      <c r="CE137" s="100"/>
      <c r="CF137" s="100"/>
      <c r="CG137" s="100"/>
      <c r="CH137" s="100"/>
      <c r="CI137" s="100"/>
      <c r="CJ137" s="100"/>
      <c r="CK137" s="100"/>
      <c r="CL137" s="100"/>
      <c r="CM137" s="100"/>
      <c r="CN137" s="100"/>
      <c r="CO137" s="100"/>
      <c r="CP137" s="100"/>
      <c r="CQ137" s="100"/>
      <c r="CR137" s="100"/>
      <c r="CS137" s="100"/>
      <c r="CT137" s="100"/>
      <c r="CU137" s="100"/>
      <c r="CV137" s="100"/>
      <c r="CW137" s="100"/>
      <c r="CX137" s="100"/>
      <c r="CY137" s="100"/>
      <c r="CZ137" s="100"/>
      <c r="DA137" s="100"/>
      <c r="DB137" s="100"/>
      <c r="DC137" s="100"/>
      <c r="DD137" s="100"/>
      <c r="DE137" s="100"/>
      <c r="DF137" s="100"/>
      <c r="DG137" s="98"/>
      <c r="DH137" s="98"/>
      <c r="DI137" s="98"/>
      <c r="DJ137" s="98"/>
      <c r="DK137" s="98"/>
      <c r="DL137" s="98"/>
      <c r="DM137" s="98"/>
      <c r="DN137" s="98"/>
      <c r="DO137" s="98"/>
      <c r="DP137" s="98"/>
      <c r="DQ137" s="98"/>
      <c r="DR137" s="98"/>
      <c r="DS137" s="98"/>
      <c r="DT137" s="98"/>
      <c r="DU137" s="98"/>
      <c r="DV137" s="98"/>
      <c r="DW137" s="98"/>
      <c r="DX137" s="98"/>
      <c r="DY137" s="98"/>
      <c r="DZ137" s="98"/>
      <c r="EA137" s="98"/>
      <c r="EB137" s="98"/>
      <c r="EC137" s="98"/>
      <c r="ED137" s="98"/>
      <c r="EE137" s="98"/>
      <c r="EF137" s="98"/>
      <c r="EG137" s="98"/>
      <c r="EH137" s="98"/>
      <c r="EI137" s="98"/>
      <c r="EJ137" s="98"/>
      <c r="EK137" s="98"/>
      <c r="EL137" s="98"/>
      <c r="EM137" s="98"/>
      <c r="EN137" s="98"/>
      <c r="EO137" s="98"/>
      <c r="EP137" s="98"/>
      <c r="EQ137" s="98"/>
      <c r="ER137" s="98"/>
      <c r="ES137" s="98"/>
      <c r="ET137" s="98"/>
      <c r="EU137" s="98"/>
      <c r="EV137" s="98"/>
      <c r="EW137" s="98"/>
      <c r="EX137" s="98"/>
      <c r="EY137" s="98"/>
      <c r="EZ137" s="98"/>
      <c r="FA137" s="98"/>
      <c r="FB137" s="98"/>
      <c r="FC137" s="98"/>
      <c r="FD137" s="98"/>
      <c r="FE137" s="98"/>
      <c r="FF137" s="98"/>
      <c r="FG137" s="98"/>
      <c r="FH137" s="98"/>
      <c r="FI137" s="98"/>
      <c r="FJ137" s="98"/>
      <c r="FK137" s="98"/>
      <c r="FL137" s="98"/>
      <c r="FM137" s="98"/>
      <c r="FN137" s="98"/>
      <c r="FO137" s="98"/>
      <c r="FP137" s="98"/>
      <c r="FQ137" s="98"/>
      <c r="FR137" s="98"/>
      <c r="FS137" s="98"/>
      <c r="FT137" s="98"/>
      <c r="FU137" s="98"/>
      <c r="FV137" s="98"/>
      <c r="FW137" s="98"/>
      <c r="FX137" s="98"/>
      <c r="FY137" s="98"/>
      <c r="FZ137" s="98"/>
      <c r="GA137" s="98"/>
      <c r="GB137" s="98"/>
      <c r="GC137" s="98"/>
      <c r="GD137" s="98"/>
      <c r="GE137" s="98"/>
      <c r="GF137" s="98"/>
      <c r="GG137" s="98"/>
      <c r="GH137" s="98"/>
      <c r="GI137" s="98"/>
      <c r="GJ137" s="98"/>
      <c r="GK137" s="98"/>
      <c r="GL137" s="98"/>
      <c r="GM137" s="98"/>
      <c r="GN137" s="98"/>
      <c r="GO137" s="98"/>
      <c r="GP137" s="98"/>
      <c r="GQ137" s="98"/>
      <c r="GR137" s="98"/>
      <c r="GS137" s="98"/>
      <c r="GT137" s="98"/>
      <c r="GU137" s="98"/>
      <c r="GV137" s="98"/>
      <c r="GW137" s="98"/>
      <c r="GX137" s="98">
        <v>0</v>
      </c>
    </row>
    <row r="139" spans="1:206" x14ac:dyDescent="0.2">
      <c r="A139" s="99">
        <v>50</v>
      </c>
      <c r="B139" s="99">
        <v>0</v>
      </c>
      <c r="C139" s="99">
        <v>0</v>
      </c>
      <c r="D139" s="99">
        <v>1</v>
      </c>
      <c r="E139" s="99">
        <v>201</v>
      </c>
      <c r="F139" s="99">
        <f>ROUND(Source!O137,O139)</f>
        <v>310429</v>
      </c>
      <c r="G139" s="99" t="s">
        <v>181</v>
      </c>
      <c r="H139" s="99" t="s">
        <v>13</v>
      </c>
      <c r="I139" s="99"/>
      <c r="J139" s="99"/>
      <c r="K139" s="99">
        <v>201</v>
      </c>
      <c r="L139" s="99">
        <v>1</v>
      </c>
      <c r="M139" s="99">
        <v>3</v>
      </c>
      <c r="N139" s="99" t="s">
        <v>74</v>
      </c>
      <c r="O139" s="99">
        <v>0</v>
      </c>
      <c r="P139" s="99"/>
      <c r="Q139" s="99"/>
      <c r="R139" s="99"/>
      <c r="S139" s="99"/>
      <c r="T139" s="99"/>
      <c r="U139" s="99"/>
      <c r="V139" s="99"/>
      <c r="W139" s="99">
        <v>96624</v>
      </c>
      <c r="X139" s="99">
        <v>1</v>
      </c>
      <c r="Y139" s="99">
        <v>96624</v>
      </c>
      <c r="Z139" s="99"/>
      <c r="AA139" s="99"/>
      <c r="AB139" s="99"/>
    </row>
    <row r="140" spans="1:206" x14ac:dyDescent="0.2">
      <c r="A140" s="99">
        <v>50</v>
      </c>
      <c r="B140" s="99">
        <v>0</v>
      </c>
      <c r="C140" s="99">
        <v>0</v>
      </c>
      <c r="D140" s="99">
        <v>1</v>
      </c>
      <c r="E140" s="99">
        <v>202</v>
      </c>
      <c r="F140" s="99">
        <f>ROUND(Source!P137,O140)</f>
        <v>215893</v>
      </c>
      <c r="G140" s="99" t="s">
        <v>180</v>
      </c>
      <c r="H140" s="99" t="s">
        <v>179</v>
      </c>
      <c r="I140" s="99"/>
      <c r="J140" s="99"/>
      <c r="K140" s="99">
        <v>202</v>
      </c>
      <c r="L140" s="99">
        <v>2</v>
      </c>
      <c r="M140" s="99">
        <v>3</v>
      </c>
      <c r="N140" s="99" t="s">
        <v>74</v>
      </c>
      <c r="O140" s="99">
        <v>0</v>
      </c>
      <c r="P140" s="99"/>
      <c r="Q140" s="99"/>
      <c r="R140" s="99"/>
      <c r="S140" s="99"/>
      <c r="T140" s="99"/>
      <c r="U140" s="99"/>
      <c r="V140" s="99"/>
      <c r="W140" s="99">
        <v>215893</v>
      </c>
      <c r="X140" s="99">
        <v>1</v>
      </c>
      <c r="Y140" s="99">
        <v>215893</v>
      </c>
      <c r="Z140" s="99"/>
      <c r="AA140" s="99"/>
      <c r="AB140" s="99"/>
    </row>
    <row r="141" spans="1:206" x14ac:dyDescent="0.2">
      <c r="A141" s="99">
        <v>50</v>
      </c>
      <c r="B141" s="99">
        <v>0</v>
      </c>
      <c r="C141" s="99">
        <v>0</v>
      </c>
      <c r="D141" s="99">
        <v>1</v>
      </c>
      <c r="E141" s="99">
        <v>222</v>
      </c>
      <c r="F141" s="99">
        <f>ROUND(Source!AO137,O141)</f>
        <v>0</v>
      </c>
      <c r="G141" s="99" t="s">
        <v>178</v>
      </c>
      <c r="H141" s="99" t="s">
        <v>177</v>
      </c>
      <c r="I141" s="99"/>
      <c r="J141" s="99"/>
      <c r="K141" s="99">
        <v>222</v>
      </c>
      <c r="L141" s="99">
        <v>3</v>
      </c>
      <c r="M141" s="99">
        <v>3</v>
      </c>
      <c r="N141" s="99" t="s">
        <v>74</v>
      </c>
      <c r="O141" s="99">
        <v>0</v>
      </c>
      <c r="P141" s="99"/>
      <c r="Q141" s="99"/>
      <c r="R141" s="99"/>
      <c r="S141" s="99"/>
      <c r="T141" s="99"/>
      <c r="U141" s="99"/>
      <c r="V141" s="99"/>
      <c r="W141" s="99">
        <v>0</v>
      </c>
      <c r="X141" s="99">
        <v>1</v>
      </c>
      <c r="Y141" s="99">
        <v>0</v>
      </c>
      <c r="Z141" s="99"/>
      <c r="AA141" s="99"/>
      <c r="AB141" s="99"/>
    </row>
    <row r="142" spans="1:206" x14ac:dyDescent="0.2">
      <c r="A142" s="99">
        <v>50</v>
      </c>
      <c r="B142" s="99">
        <v>0</v>
      </c>
      <c r="C142" s="99">
        <v>0</v>
      </c>
      <c r="D142" s="99">
        <v>1</v>
      </c>
      <c r="E142" s="99">
        <v>225</v>
      </c>
      <c r="F142" s="99">
        <f>ROUND(Source!AV137,O142)</f>
        <v>215893</v>
      </c>
      <c r="G142" s="99" t="s">
        <v>176</v>
      </c>
      <c r="H142" s="99" t="s">
        <v>175</v>
      </c>
      <c r="I142" s="99"/>
      <c r="J142" s="99"/>
      <c r="K142" s="99">
        <v>225</v>
      </c>
      <c r="L142" s="99">
        <v>4</v>
      </c>
      <c r="M142" s="99">
        <v>3</v>
      </c>
      <c r="N142" s="99" t="s">
        <v>74</v>
      </c>
      <c r="O142" s="99">
        <v>0</v>
      </c>
      <c r="P142" s="99"/>
      <c r="Q142" s="99"/>
      <c r="R142" s="99"/>
      <c r="S142" s="99"/>
      <c r="T142" s="99"/>
      <c r="U142" s="99"/>
      <c r="V142" s="99"/>
      <c r="W142" s="99">
        <v>215893</v>
      </c>
      <c r="X142" s="99">
        <v>1</v>
      </c>
      <c r="Y142" s="99">
        <v>215893</v>
      </c>
      <c r="Z142" s="99"/>
      <c r="AA142" s="99"/>
      <c r="AB142" s="99"/>
    </row>
    <row r="143" spans="1:206" x14ac:dyDescent="0.2">
      <c r="A143" s="99">
        <v>50</v>
      </c>
      <c r="B143" s="99">
        <v>0</v>
      </c>
      <c r="C143" s="99">
        <v>0</v>
      </c>
      <c r="D143" s="99">
        <v>1</v>
      </c>
      <c r="E143" s="99">
        <v>226</v>
      </c>
      <c r="F143" s="99">
        <f>ROUND(Source!AW137,O143)</f>
        <v>2088</v>
      </c>
      <c r="G143" s="99" t="s">
        <v>174</v>
      </c>
      <c r="H143" s="99" t="s">
        <v>173</v>
      </c>
      <c r="I143" s="99"/>
      <c r="J143" s="99"/>
      <c r="K143" s="99">
        <v>226</v>
      </c>
      <c r="L143" s="99">
        <v>5</v>
      </c>
      <c r="M143" s="99">
        <v>3</v>
      </c>
      <c r="N143" s="99" t="s">
        <v>74</v>
      </c>
      <c r="O143" s="99">
        <v>0</v>
      </c>
      <c r="P143" s="99"/>
      <c r="Q143" s="99"/>
      <c r="R143" s="99"/>
      <c r="S143" s="99"/>
      <c r="T143" s="99"/>
      <c r="U143" s="99"/>
      <c r="V143" s="99"/>
      <c r="W143" s="99">
        <v>2088</v>
      </c>
      <c r="X143" s="99">
        <v>1</v>
      </c>
      <c r="Y143" s="99">
        <v>2088</v>
      </c>
      <c r="Z143" s="99"/>
      <c r="AA143" s="99"/>
      <c r="AB143" s="99"/>
    </row>
    <row r="144" spans="1:206" x14ac:dyDescent="0.2">
      <c r="A144" s="99">
        <v>50</v>
      </c>
      <c r="B144" s="99">
        <v>0</v>
      </c>
      <c r="C144" s="99">
        <v>0</v>
      </c>
      <c r="D144" s="99">
        <v>1</v>
      </c>
      <c r="E144" s="99">
        <v>227</v>
      </c>
      <c r="F144" s="99">
        <f>ROUND(Source!AX137,O144)</f>
        <v>0</v>
      </c>
      <c r="G144" s="99" t="s">
        <v>172</v>
      </c>
      <c r="H144" s="99" t="s">
        <v>171</v>
      </c>
      <c r="I144" s="99"/>
      <c r="J144" s="99"/>
      <c r="K144" s="99">
        <v>227</v>
      </c>
      <c r="L144" s="99">
        <v>6</v>
      </c>
      <c r="M144" s="99">
        <v>3</v>
      </c>
      <c r="N144" s="99" t="s">
        <v>74</v>
      </c>
      <c r="O144" s="99">
        <v>0</v>
      </c>
      <c r="P144" s="99"/>
      <c r="Q144" s="99"/>
      <c r="R144" s="99"/>
      <c r="S144" s="99"/>
      <c r="T144" s="99"/>
      <c r="U144" s="99"/>
      <c r="V144" s="99"/>
      <c r="W144" s="99">
        <v>0</v>
      </c>
      <c r="X144" s="99">
        <v>1</v>
      </c>
      <c r="Y144" s="99">
        <v>0</v>
      </c>
      <c r="Z144" s="99"/>
      <c r="AA144" s="99"/>
      <c r="AB144" s="99"/>
    </row>
    <row r="145" spans="1:28" x14ac:dyDescent="0.2">
      <c r="A145" s="99">
        <v>50</v>
      </c>
      <c r="B145" s="99">
        <v>0</v>
      </c>
      <c r="C145" s="99">
        <v>0</v>
      </c>
      <c r="D145" s="99">
        <v>1</v>
      </c>
      <c r="E145" s="99">
        <v>228</v>
      </c>
      <c r="F145" s="99">
        <f>ROUND(Source!AY137,O145)</f>
        <v>2088</v>
      </c>
      <c r="G145" s="99" t="s">
        <v>170</v>
      </c>
      <c r="H145" s="99" t="s">
        <v>169</v>
      </c>
      <c r="I145" s="99"/>
      <c r="J145" s="99"/>
      <c r="K145" s="99">
        <v>228</v>
      </c>
      <c r="L145" s="99">
        <v>7</v>
      </c>
      <c r="M145" s="99">
        <v>3</v>
      </c>
      <c r="N145" s="99" t="s">
        <v>74</v>
      </c>
      <c r="O145" s="99">
        <v>0</v>
      </c>
      <c r="P145" s="99"/>
      <c r="Q145" s="99"/>
      <c r="R145" s="99"/>
      <c r="S145" s="99"/>
      <c r="T145" s="99"/>
      <c r="U145" s="99"/>
      <c r="V145" s="99"/>
      <c r="W145" s="99">
        <v>2088</v>
      </c>
      <c r="X145" s="99">
        <v>1</v>
      </c>
      <c r="Y145" s="99">
        <v>2088</v>
      </c>
      <c r="Z145" s="99"/>
      <c r="AA145" s="99"/>
      <c r="AB145" s="99"/>
    </row>
    <row r="146" spans="1:28" x14ac:dyDescent="0.2">
      <c r="A146" s="99">
        <v>50</v>
      </c>
      <c r="B146" s="99">
        <v>0</v>
      </c>
      <c r="C146" s="99">
        <v>0</v>
      </c>
      <c r="D146" s="99">
        <v>1</v>
      </c>
      <c r="E146" s="99">
        <v>216</v>
      </c>
      <c r="F146" s="99">
        <f>ROUND(Source!AP137,O146)</f>
        <v>213805</v>
      </c>
      <c r="G146" s="99" t="s">
        <v>168</v>
      </c>
      <c r="H146" s="99" t="s">
        <v>167</v>
      </c>
      <c r="I146" s="99"/>
      <c r="J146" s="99"/>
      <c r="K146" s="99">
        <v>216</v>
      </c>
      <c r="L146" s="99">
        <v>8</v>
      </c>
      <c r="M146" s="99">
        <v>3</v>
      </c>
      <c r="N146" s="99" t="s">
        <v>74</v>
      </c>
      <c r="O146" s="99">
        <v>0</v>
      </c>
      <c r="P146" s="99"/>
      <c r="Q146" s="99"/>
      <c r="R146" s="99"/>
      <c r="S146" s="99"/>
      <c r="T146" s="99"/>
      <c r="U146" s="99"/>
      <c r="V146" s="99"/>
      <c r="W146" s="99">
        <v>213805</v>
      </c>
      <c r="X146" s="99">
        <v>1</v>
      </c>
      <c r="Y146" s="99">
        <v>213805</v>
      </c>
      <c r="Z146" s="99"/>
      <c r="AA146" s="99"/>
      <c r="AB146" s="99"/>
    </row>
    <row r="147" spans="1:28" x14ac:dyDescent="0.2">
      <c r="A147" s="99">
        <v>50</v>
      </c>
      <c r="B147" s="99">
        <v>0</v>
      </c>
      <c r="C147" s="99">
        <v>0</v>
      </c>
      <c r="D147" s="99">
        <v>1</v>
      </c>
      <c r="E147" s="99">
        <v>223</v>
      </c>
      <c r="F147" s="99">
        <f>ROUND(Source!AQ137,O147)</f>
        <v>0</v>
      </c>
      <c r="G147" s="99" t="s">
        <v>166</v>
      </c>
      <c r="H147" s="99" t="s">
        <v>165</v>
      </c>
      <c r="I147" s="99"/>
      <c r="J147" s="99"/>
      <c r="K147" s="99">
        <v>223</v>
      </c>
      <c r="L147" s="99">
        <v>9</v>
      </c>
      <c r="M147" s="99">
        <v>3</v>
      </c>
      <c r="N147" s="99" t="s">
        <v>74</v>
      </c>
      <c r="O147" s="99">
        <v>0</v>
      </c>
      <c r="P147" s="99"/>
      <c r="Q147" s="99"/>
      <c r="R147" s="99"/>
      <c r="S147" s="99"/>
      <c r="T147" s="99"/>
      <c r="U147" s="99"/>
      <c r="V147" s="99"/>
      <c r="W147" s="99">
        <v>0</v>
      </c>
      <c r="X147" s="99">
        <v>1</v>
      </c>
      <c r="Y147" s="99">
        <v>0</v>
      </c>
      <c r="Z147" s="99"/>
      <c r="AA147" s="99"/>
      <c r="AB147" s="99"/>
    </row>
    <row r="148" spans="1:28" x14ac:dyDescent="0.2">
      <c r="A148" s="99">
        <v>50</v>
      </c>
      <c r="B148" s="99">
        <v>0</v>
      </c>
      <c r="C148" s="99">
        <v>0</v>
      </c>
      <c r="D148" s="99">
        <v>1</v>
      </c>
      <c r="E148" s="99">
        <v>229</v>
      </c>
      <c r="F148" s="99">
        <f>ROUND(Source!AZ137,O148)</f>
        <v>213805</v>
      </c>
      <c r="G148" s="99" t="s">
        <v>164</v>
      </c>
      <c r="H148" s="99" t="s">
        <v>163</v>
      </c>
      <c r="I148" s="99"/>
      <c r="J148" s="99"/>
      <c r="K148" s="99">
        <v>229</v>
      </c>
      <c r="L148" s="99">
        <v>10</v>
      </c>
      <c r="M148" s="99">
        <v>3</v>
      </c>
      <c r="N148" s="99" t="s">
        <v>74</v>
      </c>
      <c r="O148" s="99">
        <v>0</v>
      </c>
      <c r="P148" s="99"/>
      <c r="Q148" s="99"/>
      <c r="R148" s="99"/>
      <c r="S148" s="99"/>
      <c r="T148" s="99"/>
      <c r="U148" s="99"/>
      <c r="V148" s="99"/>
      <c r="W148" s="99">
        <v>213805</v>
      </c>
      <c r="X148" s="99">
        <v>1</v>
      </c>
      <c r="Y148" s="99">
        <v>213805</v>
      </c>
      <c r="Z148" s="99"/>
      <c r="AA148" s="99"/>
      <c r="AB148" s="99"/>
    </row>
    <row r="149" spans="1:28" x14ac:dyDescent="0.2">
      <c r="A149" s="99">
        <v>50</v>
      </c>
      <c r="B149" s="99">
        <v>0</v>
      </c>
      <c r="C149" s="99">
        <v>0</v>
      </c>
      <c r="D149" s="99">
        <v>1</v>
      </c>
      <c r="E149" s="99">
        <v>203</v>
      </c>
      <c r="F149" s="99">
        <f>ROUND(Source!Q137,O149)</f>
        <v>651</v>
      </c>
      <c r="G149" s="99" t="s">
        <v>162</v>
      </c>
      <c r="H149" s="99" t="s">
        <v>44</v>
      </c>
      <c r="I149" s="99"/>
      <c r="J149" s="99"/>
      <c r="K149" s="99">
        <v>203</v>
      </c>
      <c r="L149" s="99">
        <v>11</v>
      </c>
      <c r="M149" s="99">
        <v>3</v>
      </c>
      <c r="N149" s="99" t="s">
        <v>74</v>
      </c>
      <c r="O149" s="99">
        <v>0</v>
      </c>
      <c r="P149" s="99"/>
      <c r="Q149" s="99"/>
      <c r="R149" s="99"/>
      <c r="S149" s="99"/>
      <c r="T149" s="99"/>
      <c r="U149" s="99"/>
      <c r="V149" s="99"/>
      <c r="W149" s="99">
        <v>651</v>
      </c>
      <c r="X149" s="99">
        <v>1</v>
      </c>
      <c r="Y149" s="99">
        <v>651</v>
      </c>
      <c r="Z149" s="99"/>
      <c r="AA149" s="99"/>
      <c r="AB149" s="99"/>
    </row>
    <row r="150" spans="1:28" x14ac:dyDescent="0.2">
      <c r="A150" s="99">
        <v>50</v>
      </c>
      <c r="B150" s="99">
        <v>0</v>
      </c>
      <c r="C150" s="99">
        <v>0</v>
      </c>
      <c r="D150" s="99">
        <v>1</v>
      </c>
      <c r="E150" s="99">
        <v>231</v>
      </c>
      <c r="F150" s="99">
        <f>ROUND(Source!BB137,O150)</f>
        <v>0</v>
      </c>
      <c r="G150" s="99" t="s">
        <v>161</v>
      </c>
      <c r="H150" s="99" t="s">
        <v>160</v>
      </c>
      <c r="I150" s="99"/>
      <c r="J150" s="99"/>
      <c r="K150" s="99">
        <v>231</v>
      </c>
      <c r="L150" s="99">
        <v>12</v>
      </c>
      <c r="M150" s="99">
        <v>3</v>
      </c>
      <c r="N150" s="99" t="s">
        <v>74</v>
      </c>
      <c r="O150" s="99">
        <v>0</v>
      </c>
      <c r="P150" s="99"/>
      <c r="Q150" s="99"/>
      <c r="R150" s="99"/>
      <c r="S150" s="99"/>
      <c r="T150" s="99"/>
      <c r="U150" s="99"/>
      <c r="V150" s="99"/>
      <c r="W150" s="99">
        <v>0</v>
      </c>
      <c r="X150" s="99">
        <v>1</v>
      </c>
      <c r="Y150" s="99">
        <v>0</v>
      </c>
      <c r="Z150" s="99"/>
      <c r="AA150" s="99"/>
      <c r="AB150" s="99"/>
    </row>
    <row r="151" spans="1:28" x14ac:dyDescent="0.2">
      <c r="A151" s="99">
        <v>50</v>
      </c>
      <c r="B151" s="99">
        <v>0</v>
      </c>
      <c r="C151" s="99">
        <v>0</v>
      </c>
      <c r="D151" s="99">
        <v>1</v>
      </c>
      <c r="E151" s="99">
        <v>204</v>
      </c>
      <c r="F151" s="99">
        <f>ROUND(Source!R137,O151)</f>
        <v>211</v>
      </c>
      <c r="G151" s="99" t="s">
        <v>159</v>
      </c>
      <c r="H151" s="99" t="s">
        <v>158</v>
      </c>
      <c r="I151" s="99"/>
      <c r="J151" s="99"/>
      <c r="K151" s="99">
        <v>204</v>
      </c>
      <c r="L151" s="99">
        <v>13</v>
      </c>
      <c r="M151" s="99">
        <v>3</v>
      </c>
      <c r="N151" s="99" t="s">
        <v>74</v>
      </c>
      <c r="O151" s="99">
        <v>0</v>
      </c>
      <c r="P151" s="99"/>
      <c r="Q151" s="99"/>
      <c r="R151" s="99"/>
      <c r="S151" s="99"/>
      <c r="T151" s="99"/>
      <c r="U151" s="99"/>
      <c r="V151" s="99"/>
      <c r="W151" s="99">
        <v>211</v>
      </c>
      <c r="X151" s="99">
        <v>1</v>
      </c>
      <c r="Y151" s="99">
        <v>211</v>
      </c>
      <c r="Z151" s="99"/>
      <c r="AA151" s="99"/>
      <c r="AB151" s="99"/>
    </row>
    <row r="152" spans="1:28" x14ac:dyDescent="0.2">
      <c r="A152" s="99">
        <v>50</v>
      </c>
      <c r="B152" s="99">
        <v>0</v>
      </c>
      <c r="C152" s="99">
        <v>0</v>
      </c>
      <c r="D152" s="99">
        <v>1</v>
      </c>
      <c r="E152" s="99">
        <v>205</v>
      </c>
      <c r="F152" s="99">
        <f>ROUND(Source!S137,O152)</f>
        <v>93885</v>
      </c>
      <c r="G152" s="99" t="s">
        <v>157</v>
      </c>
      <c r="H152" s="99" t="s">
        <v>156</v>
      </c>
      <c r="I152" s="99"/>
      <c r="J152" s="99"/>
      <c r="K152" s="99">
        <v>205</v>
      </c>
      <c r="L152" s="99">
        <v>14</v>
      </c>
      <c r="M152" s="99">
        <v>3</v>
      </c>
      <c r="N152" s="99" t="s">
        <v>74</v>
      </c>
      <c r="O152" s="99">
        <v>0</v>
      </c>
      <c r="P152" s="99"/>
      <c r="Q152" s="99"/>
      <c r="R152" s="99"/>
      <c r="S152" s="99"/>
      <c r="T152" s="99"/>
      <c r="U152" s="99"/>
      <c r="V152" s="99"/>
      <c r="W152" s="99">
        <v>93885</v>
      </c>
      <c r="X152" s="99">
        <v>1</v>
      </c>
      <c r="Y152" s="99">
        <v>93885</v>
      </c>
      <c r="Z152" s="99"/>
      <c r="AA152" s="99"/>
      <c r="AB152" s="99"/>
    </row>
    <row r="153" spans="1:28" x14ac:dyDescent="0.2">
      <c r="A153" s="99">
        <v>50</v>
      </c>
      <c r="B153" s="99">
        <v>0</v>
      </c>
      <c r="C153" s="99">
        <v>0</v>
      </c>
      <c r="D153" s="99">
        <v>1</v>
      </c>
      <c r="E153" s="99">
        <v>232</v>
      </c>
      <c r="F153" s="99">
        <f>ROUND(Source!BC137,O153)</f>
        <v>0</v>
      </c>
      <c r="G153" s="99" t="s">
        <v>155</v>
      </c>
      <c r="H153" s="99" t="s">
        <v>154</v>
      </c>
      <c r="I153" s="99"/>
      <c r="J153" s="99"/>
      <c r="K153" s="99">
        <v>232</v>
      </c>
      <c r="L153" s="99">
        <v>15</v>
      </c>
      <c r="M153" s="99">
        <v>3</v>
      </c>
      <c r="N153" s="99" t="s">
        <v>74</v>
      </c>
      <c r="O153" s="99">
        <v>0</v>
      </c>
      <c r="P153" s="99"/>
      <c r="Q153" s="99"/>
      <c r="R153" s="99"/>
      <c r="S153" s="99"/>
      <c r="T153" s="99"/>
      <c r="U153" s="99"/>
      <c r="V153" s="99"/>
      <c r="W153" s="99">
        <v>0</v>
      </c>
      <c r="X153" s="99">
        <v>1</v>
      </c>
      <c r="Y153" s="99">
        <v>0</v>
      </c>
      <c r="Z153" s="99"/>
      <c r="AA153" s="99"/>
      <c r="AB153" s="99"/>
    </row>
    <row r="154" spans="1:28" x14ac:dyDescent="0.2">
      <c r="A154" s="99">
        <v>50</v>
      </c>
      <c r="B154" s="99">
        <v>0</v>
      </c>
      <c r="C154" s="99">
        <v>0</v>
      </c>
      <c r="D154" s="99">
        <v>1</v>
      </c>
      <c r="E154" s="99">
        <v>214</v>
      </c>
      <c r="F154" s="99">
        <f>ROUND(Source!AS137,O154)</f>
        <v>0</v>
      </c>
      <c r="G154" s="99" t="s">
        <v>153</v>
      </c>
      <c r="H154" s="99" t="s">
        <v>152</v>
      </c>
      <c r="I154" s="99"/>
      <c r="J154" s="99"/>
      <c r="K154" s="99">
        <v>214</v>
      </c>
      <c r="L154" s="99">
        <v>16</v>
      </c>
      <c r="M154" s="99">
        <v>3</v>
      </c>
      <c r="N154" s="99" t="s">
        <v>74</v>
      </c>
      <c r="O154" s="99">
        <v>0</v>
      </c>
      <c r="P154" s="99"/>
      <c r="Q154" s="99"/>
      <c r="R154" s="99"/>
      <c r="S154" s="99"/>
      <c r="T154" s="99"/>
      <c r="U154" s="99"/>
      <c r="V154" s="99"/>
      <c r="W154" s="99">
        <v>0</v>
      </c>
      <c r="X154" s="99">
        <v>1</v>
      </c>
      <c r="Y154" s="99">
        <v>0</v>
      </c>
      <c r="Z154" s="99"/>
      <c r="AA154" s="99"/>
      <c r="AB154" s="99"/>
    </row>
    <row r="155" spans="1:28" x14ac:dyDescent="0.2">
      <c r="A155" s="99">
        <v>50</v>
      </c>
      <c r="B155" s="99">
        <v>0</v>
      </c>
      <c r="C155" s="99">
        <v>0</v>
      </c>
      <c r="D155" s="99">
        <v>1</v>
      </c>
      <c r="E155" s="99">
        <v>215</v>
      </c>
      <c r="F155" s="99">
        <f>ROUND(Source!AT137,O155)</f>
        <v>13357</v>
      </c>
      <c r="G155" s="99" t="s">
        <v>151</v>
      </c>
      <c r="H155" s="99" t="s">
        <v>150</v>
      </c>
      <c r="I155" s="99"/>
      <c r="J155" s="99"/>
      <c r="K155" s="99">
        <v>215</v>
      </c>
      <c r="L155" s="99">
        <v>17</v>
      </c>
      <c r="M155" s="99">
        <v>3</v>
      </c>
      <c r="N155" s="99" t="s">
        <v>74</v>
      </c>
      <c r="O155" s="99">
        <v>0</v>
      </c>
      <c r="P155" s="99"/>
      <c r="Q155" s="99"/>
      <c r="R155" s="99"/>
      <c r="S155" s="99"/>
      <c r="T155" s="99"/>
      <c r="U155" s="99"/>
      <c r="V155" s="99"/>
      <c r="W155" s="99">
        <v>13357</v>
      </c>
      <c r="X155" s="99">
        <v>1</v>
      </c>
      <c r="Y155" s="99">
        <v>13357</v>
      </c>
      <c r="Z155" s="99"/>
      <c r="AA155" s="99"/>
      <c r="AB155" s="99"/>
    </row>
    <row r="156" spans="1:28" x14ac:dyDescent="0.2">
      <c r="A156" s="99">
        <v>50</v>
      </c>
      <c r="B156" s="99">
        <v>0</v>
      </c>
      <c r="C156" s="99">
        <v>0</v>
      </c>
      <c r="D156" s="99">
        <v>1</v>
      </c>
      <c r="E156" s="99">
        <v>217</v>
      </c>
      <c r="F156" s="99">
        <f>ROUND(Source!AU137,O156)</f>
        <v>188391</v>
      </c>
      <c r="G156" s="99" t="s">
        <v>149</v>
      </c>
      <c r="H156" s="99" t="s">
        <v>148</v>
      </c>
      <c r="I156" s="99"/>
      <c r="J156" s="99"/>
      <c r="K156" s="99">
        <v>217</v>
      </c>
      <c r="L156" s="99">
        <v>18</v>
      </c>
      <c r="M156" s="99">
        <v>3</v>
      </c>
      <c r="N156" s="99" t="s">
        <v>74</v>
      </c>
      <c r="O156" s="99">
        <v>0</v>
      </c>
      <c r="P156" s="99"/>
      <c r="Q156" s="99"/>
      <c r="R156" s="99"/>
      <c r="S156" s="99"/>
      <c r="T156" s="99"/>
      <c r="U156" s="99"/>
      <c r="V156" s="99"/>
      <c r="W156" s="99">
        <v>188391</v>
      </c>
      <c r="X156" s="99">
        <v>1</v>
      </c>
      <c r="Y156" s="99">
        <v>188391</v>
      </c>
      <c r="Z156" s="99"/>
      <c r="AA156" s="99"/>
      <c r="AB156" s="99"/>
    </row>
    <row r="157" spans="1:28" x14ac:dyDescent="0.2">
      <c r="A157" s="99">
        <v>50</v>
      </c>
      <c r="B157" s="99">
        <v>0</v>
      </c>
      <c r="C157" s="99">
        <v>0</v>
      </c>
      <c r="D157" s="99">
        <v>1</v>
      </c>
      <c r="E157" s="99">
        <v>230</v>
      </c>
      <c r="F157" s="99">
        <f>ROUND(Source!BA137,O157)</f>
        <v>0</v>
      </c>
      <c r="G157" s="99" t="s">
        <v>147</v>
      </c>
      <c r="H157" s="99" t="s">
        <v>146</v>
      </c>
      <c r="I157" s="99"/>
      <c r="J157" s="99"/>
      <c r="K157" s="99">
        <v>230</v>
      </c>
      <c r="L157" s="99">
        <v>19</v>
      </c>
      <c r="M157" s="99">
        <v>3</v>
      </c>
      <c r="N157" s="99" t="s">
        <v>74</v>
      </c>
      <c r="O157" s="99">
        <v>0</v>
      </c>
      <c r="P157" s="99"/>
      <c r="Q157" s="99"/>
      <c r="R157" s="99"/>
      <c r="S157" s="99"/>
      <c r="T157" s="99"/>
      <c r="U157" s="99"/>
      <c r="V157" s="99"/>
      <c r="W157" s="99">
        <v>0</v>
      </c>
      <c r="X157" s="99">
        <v>1</v>
      </c>
      <c r="Y157" s="99">
        <v>0</v>
      </c>
      <c r="Z157" s="99"/>
      <c r="AA157" s="99"/>
      <c r="AB157" s="99"/>
    </row>
    <row r="158" spans="1:28" x14ac:dyDescent="0.2">
      <c r="A158" s="99">
        <v>50</v>
      </c>
      <c r="B158" s="99">
        <v>0</v>
      </c>
      <c r="C158" s="99">
        <v>0</v>
      </c>
      <c r="D158" s="99">
        <v>1</v>
      </c>
      <c r="E158" s="99">
        <v>206</v>
      </c>
      <c r="F158" s="99">
        <f>ROUND(Source!T137,O158)</f>
        <v>0</v>
      </c>
      <c r="G158" s="99" t="s">
        <v>145</v>
      </c>
      <c r="H158" s="99" t="s">
        <v>60</v>
      </c>
      <c r="I158" s="99"/>
      <c r="J158" s="99"/>
      <c r="K158" s="99">
        <v>206</v>
      </c>
      <c r="L158" s="99">
        <v>20</v>
      </c>
      <c r="M158" s="99">
        <v>3</v>
      </c>
      <c r="N158" s="99" t="s">
        <v>74</v>
      </c>
      <c r="O158" s="99">
        <v>0</v>
      </c>
      <c r="P158" s="99"/>
      <c r="Q158" s="99"/>
      <c r="R158" s="99"/>
      <c r="S158" s="99"/>
      <c r="T158" s="99"/>
      <c r="U158" s="99"/>
      <c r="V158" s="99"/>
      <c r="W158" s="99">
        <v>0</v>
      </c>
      <c r="X158" s="99">
        <v>1</v>
      </c>
      <c r="Y158" s="99">
        <v>0</v>
      </c>
      <c r="Z158" s="99"/>
      <c r="AA158" s="99"/>
      <c r="AB158" s="99"/>
    </row>
    <row r="159" spans="1:28" x14ac:dyDescent="0.2">
      <c r="A159" s="99">
        <v>50</v>
      </c>
      <c r="B159" s="99">
        <v>0</v>
      </c>
      <c r="C159" s="99">
        <v>0</v>
      </c>
      <c r="D159" s="99">
        <v>1</v>
      </c>
      <c r="E159" s="99">
        <v>207</v>
      </c>
      <c r="F159" s="99">
        <f>Source!U137</f>
        <v>256.52350000000001</v>
      </c>
      <c r="G159" s="99" t="s">
        <v>144</v>
      </c>
      <c r="H159" s="99" t="s">
        <v>143</v>
      </c>
      <c r="I159" s="99"/>
      <c r="J159" s="99"/>
      <c r="K159" s="99">
        <v>207</v>
      </c>
      <c r="L159" s="99">
        <v>21</v>
      </c>
      <c r="M159" s="99">
        <v>3</v>
      </c>
      <c r="N159" s="99" t="s">
        <v>74</v>
      </c>
      <c r="O159" s="99">
        <v>-1</v>
      </c>
      <c r="P159" s="99"/>
      <c r="Q159" s="99"/>
      <c r="R159" s="99"/>
      <c r="S159" s="99"/>
      <c r="T159" s="99"/>
      <c r="U159" s="99"/>
      <c r="V159" s="99"/>
      <c r="W159" s="99">
        <v>256.52350000000001</v>
      </c>
      <c r="X159" s="99">
        <v>1</v>
      </c>
      <c r="Y159" s="99">
        <v>256.52350000000001</v>
      </c>
      <c r="Z159" s="99"/>
      <c r="AA159" s="99"/>
      <c r="AB159" s="99"/>
    </row>
    <row r="160" spans="1:28" x14ac:dyDescent="0.2">
      <c r="A160" s="99">
        <v>50</v>
      </c>
      <c r="B160" s="99">
        <v>0</v>
      </c>
      <c r="C160" s="99">
        <v>0</v>
      </c>
      <c r="D160" s="99">
        <v>1</v>
      </c>
      <c r="E160" s="99">
        <v>208</v>
      </c>
      <c r="F160" s="99">
        <f>Source!V137</f>
        <v>0.77059999999999995</v>
      </c>
      <c r="G160" s="99" t="s">
        <v>142</v>
      </c>
      <c r="H160" s="99" t="s">
        <v>141</v>
      </c>
      <c r="I160" s="99"/>
      <c r="J160" s="99"/>
      <c r="K160" s="99">
        <v>208</v>
      </c>
      <c r="L160" s="99">
        <v>22</v>
      </c>
      <c r="M160" s="99">
        <v>3</v>
      </c>
      <c r="N160" s="99" t="s">
        <v>74</v>
      </c>
      <c r="O160" s="99">
        <v>-1</v>
      </c>
      <c r="P160" s="99"/>
      <c r="Q160" s="99"/>
      <c r="R160" s="99"/>
      <c r="S160" s="99"/>
      <c r="T160" s="99"/>
      <c r="U160" s="99"/>
      <c r="V160" s="99"/>
      <c r="W160" s="99">
        <v>0.77059999999999995</v>
      </c>
      <c r="X160" s="99">
        <v>1</v>
      </c>
      <c r="Y160" s="99">
        <v>0.77059999999999995</v>
      </c>
      <c r="Z160" s="99"/>
      <c r="AA160" s="99"/>
      <c r="AB160" s="99"/>
    </row>
    <row r="161" spans="1:206" x14ac:dyDescent="0.2">
      <c r="A161" s="99">
        <v>50</v>
      </c>
      <c r="B161" s="99">
        <v>0</v>
      </c>
      <c r="C161" s="99">
        <v>0</v>
      </c>
      <c r="D161" s="99">
        <v>1</v>
      </c>
      <c r="E161" s="99">
        <v>209</v>
      </c>
      <c r="F161" s="99">
        <f>ROUND(Source!W137,O161)</f>
        <v>0</v>
      </c>
      <c r="G161" s="99" t="s">
        <v>140</v>
      </c>
      <c r="H161" s="99" t="s">
        <v>139</v>
      </c>
      <c r="I161" s="99"/>
      <c r="J161" s="99"/>
      <c r="K161" s="99">
        <v>209</v>
      </c>
      <c r="L161" s="99">
        <v>23</v>
      </c>
      <c r="M161" s="99">
        <v>3</v>
      </c>
      <c r="N161" s="99" t="s">
        <v>74</v>
      </c>
      <c r="O161" s="99">
        <v>0</v>
      </c>
      <c r="P161" s="99"/>
      <c r="Q161" s="99"/>
      <c r="R161" s="99"/>
      <c r="S161" s="99"/>
      <c r="T161" s="99"/>
      <c r="U161" s="99"/>
      <c r="V161" s="99"/>
      <c r="W161" s="99">
        <v>0</v>
      </c>
      <c r="X161" s="99">
        <v>1</v>
      </c>
      <c r="Y161" s="99">
        <v>0</v>
      </c>
      <c r="Z161" s="99"/>
      <c r="AA161" s="99"/>
      <c r="AB161" s="99"/>
    </row>
    <row r="162" spans="1:206" x14ac:dyDescent="0.2">
      <c r="A162" s="99">
        <v>50</v>
      </c>
      <c r="B162" s="99">
        <v>0</v>
      </c>
      <c r="C162" s="99">
        <v>0</v>
      </c>
      <c r="D162" s="99">
        <v>1</v>
      </c>
      <c r="E162" s="99">
        <v>233</v>
      </c>
      <c r="F162" s="99">
        <f>ROUND(Source!BD137,O162)</f>
        <v>0</v>
      </c>
      <c r="G162" s="99" t="s">
        <v>138</v>
      </c>
      <c r="H162" s="99" t="s">
        <v>137</v>
      </c>
      <c r="I162" s="99"/>
      <c r="J162" s="99"/>
      <c r="K162" s="99">
        <v>233</v>
      </c>
      <c r="L162" s="99">
        <v>24</v>
      </c>
      <c r="M162" s="99">
        <v>3</v>
      </c>
      <c r="N162" s="99" t="s">
        <v>74</v>
      </c>
      <c r="O162" s="99">
        <v>0</v>
      </c>
      <c r="P162" s="99"/>
      <c r="Q162" s="99"/>
      <c r="R162" s="99"/>
      <c r="S162" s="99"/>
      <c r="T162" s="99"/>
      <c r="U162" s="99"/>
      <c r="V162" s="99"/>
      <c r="W162" s="99">
        <v>0</v>
      </c>
      <c r="X162" s="99">
        <v>1</v>
      </c>
      <c r="Y162" s="99">
        <v>0</v>
      </c>
      <c r="Z162" s="99"/>
      <c r="AA162" s="99"/>
      <c r="AB162" s="99"/>
    </row>
    <row r="163" spans="1:206" x14ac:dyDescent="0.2">
      <c r="A163" s="99">
        <v>50</v>
      </c>
      <c r="B163" s="99">
        <v>0</v>
      </c>
      <c r="C163" s="99">
        <v>0</v>
      </c>
      <c r="D163" s="99">
        <v>1</v>
      </c>
      <c r="E163" s="99">
        <v>210</v>
      </c>
      <c r="F163" s="99">
        <f>ROUND(Source!X137,O163)</f>
        <v>70534</v>
      </c>
      <c r="G163" s="99" t="s">
        <v>136</v>
      </c>
      <c r="H163" s="99" t="s">
        <v>135</v>
      </c>
      <c r="I163" s="99"/>
      <c r="J163" s="99"/>
      <c r="K163" s="99">
        <v>210</v>
      </c>
      <c r="L163" s="99">
        <v>25</v>
      </c>
      <c r="M163" s="99">
        <v>3</v>
      </c>
      <c r="N163" s="99" t="s">
        <v>74</v>
      </c>
      <c r="O163" s="99">
        <v>0</v>
      </c>
      <c r="P163" s="99"/>
      <c r="Q163" s="99"/>
      <c r="R163" s="99"/>
      <c r="S163" s="99"/>
      <c r="T163" s="99"/>
      <c r="U163" s="99"/>
      <c r="V163" s="99"/>
      <c r="W163" s="99">
        <v>70534</v>
      </c>
      <c r="X163" s="99">
        <v>1</v>
      </c>
      <c r="Y163" s="99">
        <v>70534</v>
      </c>
      <c r="Z163" s="99"/>
      <c r="AA163" s="99"/>
      <c r="AB163" s="99"/>
    </row>
    <row r="164" spans="1:206" x14ac:dyDescent="0.2">
      <c r="A164" s="99">
        <v>50</v>
      </c>
      <c r="B164" s="99">
        <v>0</v>
      </c>
      <c r="C164" s="99">
        <v>0</v>
      </c>
      <c r="D164" s="99">
        <v>1</v>
      </c>
      <c r="E164" s="99">
        <v>211</v>
      </c>
      <c r="F164" s="99">
        <f>ROUND(Source!Y137,O164)</f>
        <v>34590</v>
      </c>
      <c r="G164" s="99" t="s">
        <v>134</v>
      </c>
      <c r="H164" s="99" t="s">
        <v>133</v>
      </c>
      <c r="I164" s="99"/>
      <c r="J164" s="99"/>
      <c r="K164" s="99">
        <v>211</v>
      </c>
      <c r="L164" s="99">
        <v>26</v>
      </c>
      <c r="M164" s="99">
        <v>3</v>
      </c>
      <c r="N164" s="99" t="s">
        <v>74</v>
      </c>
      <c r="O164" s="99">
        <v>0</v>
      </c>
      <c r="P164" s="99"/>
      <c r="Q164" s="99"/>
      <c r="R164" s="99"/>
      <c r="S164" s="99"/>
      <c r="T164" s="99"/>
      <c r="U164" s="99"/>
      <c r="V164" s="99"/>
      <c r="W164" s="99">
        <v>34590</v>
      </c>
      <c r="X164" s="99">
        <v>1</v>
      </c>
      <c r="Y164" s="99">
        <v>34590</v>
      </c>
      <c r="Z164" s="99"/>
      <c r="AA164" s="99"/>
      <c r="AB164" s="99"/>
    </row>
    <row r="165" spans="1:206" x14ac:dyDescent="0.2">
      <c r="A165" s="99">
        <v>50</v>
      </c>
      <c r="B165" s="99">
        <v>0</v>
      </c>
      <c r="C165" s="99">
        <v>0</v>
      </c>
      <c r="D165" s="99">
        <v>1</v>
      </c>
      <c r="E165" s="99">
        <v>224</v>
      </c>
      <c r="F165" s="99">
        <f>ROUND(Source!AR137,O165)</f>
        <v>415553</v>
      </c>
      <c r="G165" s="99" t="s">
        <v>132</v>
      </c>
      <c r="H165" s="99" t="s">
        <v>131</v>
      </c>
      <c r="I165" s="99"/>
      <c r="J165" s="99"/>
      <c r="K165" s="99">
        <v>224</v>
      </c>
      <c r="L165" s="99">
        <v>27</v>
      </c>
      <c r="M165" s="99">
        <v>3</v>
      </c>
      <c r="N165" s="99" t="s">
        <v>74</v>
      </c>
      <c r="O165" s="99">
        <v>0</v>
      </c>
      <c r="P165" s="99"/>
      <c r="Q165" s="99"/>
      <c r="R165" s="99"/>
      <c r="S165" s="99"/>
      <c r="T165" s="99"/>
      <c r="U165" s="99"/>
      <c r="V165" s="99"/>
      <c r="W165" s="99">
        <v>415553</v>
      </c>
      <c r="X165" s="99">
        <v>1</v>
      </c>
      <c r="Y165" s="99">
        <v>415553</v>
      </c>
      <c r="Z165" s="99"/>
      <c r="AA165" s="99"/>
      <c r="AB165" s="99"/>
    </row>
    <row r="167" spans="1:206" x14ac:dyDescent="0.2">
      <c r="A167" s="100">
        <v>51</v>
      </c>
      <c r="B167" s="100">
        <f>B12</f>
        <v>219</v>
      </c>
      <c r="C167" s="100">
        <f>A12</f>
        <v>1</v>
      </c>
      <c r="D167" s="100">
        <f>ROW(A12)</f>
        <v>12</v>
      </c>
      <c r="E167" s="100"/>
      <c r="F167" s="100" t="str">
        <f>IF(F12&lt;&gt;"",F12,"")</f>
        <v>Новый объект</v>
      </c>
      <c r="G167" s="100" t="str">
        <f>IF(G12&lt;&gt;"",G12,"")</f>
        <v>реклоузер на ВЛ-10 кВ ф.189-04 г Волосово (20-1-08-1-03-04-2-0301)</v>
      </c>
      <c r="H167" s="100">
        <v>0</v>
      </c>
      <c r="I167" s="100"/>
      <c r="J167" s="100"/>
      <c r="K167" s="100"/>
      <c r="L167" s="100"/>
      <c r="M167" s="100"/>
      <c r="N167" s="100"/>
      <c r="O167" s="100">
        <f>ROUND(O137,0)</f>
        <v>310429</v>
      </c>
      <c r="P167" s="100">
        <f>ROUND(P137,0)</f>
        <v>215893</v>
      </c>
      <c r="Q167" s="100">
        <f>ROUND(Q137,0)</f>
        <v>651</v>
      </c>
      <c r="R167" s="100">
        <f>ROUND(R137,0)</f>
        <v>211</v>
      </c>
      <c r="S167" s="100">
        <f>ROUND(S137,0)</f>
        <v>93885</v>
      </c>
      <c r="T167" s="100">
        <f>ROUND(T137,0)</f>
        <v>0</v>
      </c>
      <c r="U167" s="100">
        <f>U137</f>
        <v>256.52350000000001</v>
      </c>
      <c r="V167" s="100">
        <f>V137</f>
        <v>0.77059999999999995</v>
      </c>
      <c r="W167" s="100">
        <f>ROUND(W137,0)</f>
        <v>0</v>
      </c>
      <c r="X167" s="100">
        <f>ROUND(X137,0)</f>
        <v>70534</v>
      </c>
      <c r="Y167" s="100">
        <f>ROUND(Y137,0)</f>
        <v>34590</v>
      </c>
      <c r="Z167" s="100"/>
      <c r="AA167" s="100"/>
      <c r="AB167" s="100"/>
      <c r="AC167" s="100"/>
      <c r="AD167" s="100"/>
      <c r="AE167" s="100"/>
      <c r="AF167" s="100"/>
      <c r="AG167" s="100"/>
      <c r="AH167" s="100"/>
      <c r="AI167" s="100"/>
      <c r="AJ167" s="100"/>
      <c r="AK167" s="100"/>
      <c r="AL167" s="100"/>
      <c r="AM167" s="100"/>
      <c r="AN167" s="100"/>
      <c r="AO167" s="100">
        <f>ROUND(AO137,0)</f>
        <v>0</v>
      </c>
      <c r="AP167" s="100">
        <f>ROUND(AP137,0)</f>
        <v>213805</v>
      </c>
      <c r="AQ167" s="100">
        <f>ROUND(AQ137,0)</f>
        <v>0</v>
      </c>
      <c r="AR167" s="100">
        <f>ROUND(AR137,0)</f>
        <v>415553</v>
      </c>
      <c r="AS167" s="100">
        <f>ROUND(AS137,0)</f>
        <v>0</v>
      </c>
      <c r="AT167" s="100">
        <f>ROUND(AT137,0)</f>
        <v>13357</v>
      </c>
      <c r="AU167" s="100">
        <f>ROUND(AU137,0)</f>
        <v>188391</v>
      </c>
      <c r="AV167" s="100">
        <f>ROUND(AV137,0)</f>
        <v>215893</v>
      </c>
      <c r="AW167" s="100">
        <f>ROUND(AW137,0)</f>
        <v>2088</v>
      </c>
      <c r="AX167" s="100">
        <f>ROUND(AX137,0)</f>
        <v>0</v>
      </c>
      <c r="AY167" s="100">
        <f>ROUND(AY137,0)</f>
        <v>2088</v>
      </c>
      <c r="AZ167" s="100">
        <f>ROUND(AZ137,0)</f>
        <v>213805</v>
      </c>
      <c r="BA167" s="100">
        <f>ROUND(BA137,0)</f>
        <v>0</v>
      </c>
      <c r="BB167" s="100">
        <f>ROUND(BB137,0)</f>
        <v>0</v>
      </c>
      <c r="BC167" s="100">
        <f>ROUND(BC137,0)</f>
        <v>0</v>
      </c>
      <c r="BD167" s="100">
        <f>ROUND(BD137,0)</f>
        <v>0</v>
      </c>
      <c r="BE167" s="100"/>
      <c r="BF167" s="100"/>
      <c r="BG167" s="100"/>
      <c r="BH167" s="100"/>
      <c r="BI167" s="100"/>
      <c r="BJ167" s="100"/>
      <c r="BK167" s="100"/>
      <c r="BL167" s="100"/>
      <c r="BM167" s="100"/>
      <c r="BN167" s="100"/>
      <c r="BO167" s="100"/>
      <c r="BP167" s="100"/>
      <c r="BQ167" s="100"/>
      <c r="BR167" s="100"/>
      <c r="BS167" s="100"/>
      <c r="BT167" s="100"/>
      <c r="BU167" s="100"/>
      <c r="BV167" s="100"/>
      <c r="BW167" s="100"/>
      <c r="BX167" s="100"/>
      <c r="BY167" s="100"/>
      <c r="BZ167" s="100"/>
      <c r="CA167" s="100"/>
      <c r="CB167" s="100"/>
      <c r="CC167" s="100"/>
      <c r="CD167" s="100"/>
      <c r="CE167" s="100"/>
      <c r="CF167" s="100"/>
      <c r="CG167" s="100"/>
      <c r="CH167" s="100"/>
      <c r="CI167" s="100"/>
      <c r="CJ167" s="100"/>
      <c r="CK167" s="100"/>
      <c r="CL167" s="100"/>
      <c r="CM167" s="100"/>
      <c r="CN167" s="100"/>
      <c r="CO167" s="100"/>
      <c r="CP167" s="100"/>
      <c r="CQ167" s="100"/>
      <c r="CR167" s="100"/>
      <c r="CS167" s="100"/>
      <c r="CT167" s="100"/>
      <c r="CU167" s="100"/>
      <c r="CV167" s="100"/>
      <c r="CW167" s="100"/>
      <c r="CX167" s="100"/>
      <c r="CY167" s="100"/>
      <c r="CZ167" s="100"/>
      <c r="DA167" s="100"/>
      <c r="DB167" s="100"/>
      <c r="DC167" s="100"/>
      <c r="DD167" s="100"/>
      <c r="DE167" s="100"/>
      <c r="DF167" s="100"/>
      <c r="DG167" s="98"/>
      <c r="DH167" s="98"/>
      <c r="DI167" s="98"/>
      <c r="DJ167" s="98"/>
      <c r="DK167" s="98"/>
      <c r="DL167" s="98"/>
      <c r="DM167" s="98"/>
      <c r="DN167" s="98"/>
      <c r="DO167" s="98"/>
      <c r="DP167" s="98"/>
      <c r="DQ167" s="98"/>
      <c r="DR167" s="98"/>
      <c r="DS167" s="98"/>
      <c r="DT167" s="98"/>
      <c r="DU167" s="98"/>
      <c r="DV167" s="98"/>
      <c r="DW167" s="98"/>
      <c r="DX167" s="98"/>
      <c r="DY167" s="98"/>
      <c r="DZ167" s="98"/>
      <c r="EA167" s="98"/>
      <c r="EB167" s="98"/>
      <c r="EC167" s="98"/>
      <c r="ED167" s="98"/>
      <c r="EE167" s="98"/>
      <c r="EF167" s="98"/>
      <c r="EG167" s="98"/>
      <c r="EH167" s="98"/>
      <c r="EI167" s="98"/>
      <c r="EJ167" s="98"/>
      <c r="EK167" s="98"/>
      <c r="EL167" s="98"/>
      <c r="EM167" s="98"/>
      <c r="EN167" s="98"/>
      <c r="EO167" s="98"/>
      <c r="EP167" s="98"/>
      <c r="EQ167" s="98"/>
      <c r="ER167" s="98"/>
      <c r="ES167" s="98"/>
      <c r="ET167" s="98"/>
      <c r="EU167" s="98"/>
      <c r="EV167" s="98"/>
      <c r="EW167" s="98"/>
      <c r="EX167" s="98"/>
      <c r="EY167" s="98"/>
      <c r="EZ167" s="98"/>
      <c r="FA167" s="98"/>
      <c r="FB167" s="98"/>
      <c r="FC167" s="98"/>
      <c r="FD167" s="98"/>
      <c r="FE167" s="98"/>
      <c r="FF167" s="98"/>
      <c r="FG167" s="98"/>
      <c r="FH167" s="98"/>
      <c r="FI167" s="98"/>
      <c r="FJ167" s="98"/>
      <c r="FK167" s="98"/>
      <c r="FL167" s="98"/>
      <c r="FM167" s="98"/>
      <c r="FN167" s="98"/>
      <c r="FO167" s="98"/>
      <c r="FP167" s="98"/>
      <c r="FQ167" s="98"/>
      <c r="FR167" s="98"/>
      <c r="FS167" s="98"/>
      <c r="FT167" s="98"/>
      <c r="FU167" s="98"/>
      <c r="FV167" s="98"/>
      <c r="FW167" s="98"/>
      <c r="FX167" s="98"/>
      <c r="FY167" s="98"/>
      <c r="FZ167" s="98"/>
      <c r="GA167" s="98"/>
      <c r="GB167" s="98"/>
      <c r="GC167" s="98"/>
      <c r="GD167" s="98"/>
      <c r="GE167" s="98"/>
      <c r="GF167" s="98"/>
      <c r="GG167" s="98"/>
      <c r="GH167" s="98"/>
      <c r="GI167" s="98"/>
      <c r="GJ167" s="98"/>
      <c r="GK167" s="98"/>
      <c r="GL167" s="98"/>
      <c r="GM167" s="98"/>
      <c r="GN167" s="98"/>
      <c r="GO167" s="98"/>
      <c r="GP167" s="98"/>
      <c r="GQ167" s="98"/>
      <c r="GR167" s="98"/>
      <c r="GS167" s="98"/>
      <c r="GT167" s="98"/>
      <c r="GU167" s="98"/>
      <c r="GV167" s="98"/>
      <c r="GW167" s="98"/>
      <c r="GX167" s="98">
        <v>0</v>
      </c>
    </row>
    <row r="169" spans="1:206" x14ac:dyDescent="0.2">
      <c r="A169" s="99">
        <v>50</v>
      </c>
      <c r="B169" s="99">
        <v>0</v>
      </c>
      <c r="C169" s="99">
        <v>0</v>
      </c>
      <c r="D169" s="99">
        <v>1</v>
      </c>
      <c r="E169" s="99">
        <v>201</v>
      </c>
      <c r="F169" s="99">
        <f>ROUND(Source!O167,O169)</f>
        <v>310429</v>
      </c>
      <c r="G169" s="99" t="s">
        <v>181</v>
      </c>
      <c r="H169" s="99" t="s">
        <v>13</v>
      </c>
      <c r="I169" s="99"/>
      <c r="J169" s="99"/>
      <c r="K169" s="99">
        <v>201</v>
      </c>
      <c r="L169" s="99">
        <v>1</v>
      </c>
      <c r="M169" s="99">
        <v>3</v>
      </c>
      <c r="N169" s="99" t="s">
        <v>74</v>
      </c>
      <c r="O169" s="99">
        <v>0</v>
      </c>
      <c r="P169" s="99"/>
      <c r="Q169" s="99"/>
      <c r="R169" s="99"/>
      <c r="S169" s="99"/>
      <c r="T169" s="99"/>
      <c r="U169" s="99"/>
      <c r="V169" s="99"/>
      <c r="W169" s="99">
        <v>96624</v>
      </c>
      <c r="X169" s="99">
        <v>1</v>
      </c>
      <c r="Y169" s="99">
        <v>96624</v>
      </c>
      <c r="Z169" s="99"/>
      <c r="AA169" s="99"/>
      <c r="AB169" s="99"/>
    </row>
    <row r="170" spans="1:206" x14ac:dyDescent="0.2">
      <c r="A170" s="99">
        <v>50</v>
      </c>
      <c r="B170" s="99">
        <v>0</v>
      </c>
      <c r="C170" s="99">
        <v>0</v>
      </c>
      <c r="D170" s="99">
        <v>1</v>
      </c>
      <c r="E170" s="99">
        <v>202</v>
      </c>
      <c r="F170" s="99">
        <f>ROUND(Source!P167,O170)</f>
        <v>215893</v>
      </c>
      <c r="G170" s="99" t="s">
        <v>180</v>
      </c>
      <c r="H170" s="99" t="s">
        <v>179</v>
      </c>
      <c r="I170" s="99"/>
      <c r="J170" s="99"/>
      <c r="K170" s="99">
        <v>202</v>
      </c>
      <c r="L170" s="99">
        <v>2</v>
      </c>
      <c r="M170" s="99">
        <v>3</v>
      </c>
      <c r="N170" s="99" t="s">
        <v>74</v>
      </c>
      <c r="O170" s="99">
        <v>0</v>
      </c>
      <c r="P170" s="99"/>
      <c r="Q170" s="99"/>
      <c r="R170" s="99"/>
      <c r="S170" s="99"/>
      <c r="T170" s="99"/>
      <c r="U170" s="99"/>
      <c r="V170" s="99"/>
      <c r="W170" s="99">
        <v>215893</v>
      </c>
      <c r="X170" s="99">
        <v>1</v>
      </c>
      <c r="Y170" s="99">
        <v>215893</v>
      </c>
      <c r="Z170" s="99"/>
      <c r="AA170" s="99"/>
      <c r="AB170" s="99"/>
    </row>
    <row r="171" spans="1:206" x14ac:dyDescent="0.2">
      <c r="A171" s="99">
        <v>50</v>
      </c>
      <c r="B171" s="99">
        <v>0</v>
      </c>
      <c r="C171" s="99">
        <v>0</v>
      </c>
      <c r="D171" s="99">
        <v>1</v>
      </c>
      <c r="E171" s="99">
        <v>222</v>
      </c>
      <c r="F171" s="99">
        <f>ROUND(Source!AO167,O171)</f>
        <v>0</v>
      </c>
      <c r="G171" s="99" t="s">
        <v>178</v>
      </c>
      <c r="H171" s="99" t="s">
        <v>177</v>
      </c>
      <c r="I171" s="99"/>
      <c r="J171" s="99"/>
      <c r="K171" s="99">
        <v>222</v>
      </c>
      <c r="L171" s="99">
        <v>3</v>
      </c>
      <c r="M171" s="99">
        <v>3</v>
      </c>
      <c r="N171" s="99" t="s">
        <v>74</v>
      </c>
      <c r="O171" s="99">
        <v>0</v>
      </c>
      <c r="P171" s="99"/>
      <c r="Q171" s="99"/>
      <c r="R171" s="99"/>
      <c r="S171" s="99"/>
      <c r="T171" s="99"/>
      <c r="U171" s="99"/>
      <c r="V171" s="99"/>
      <c r="W171" s="99">
        <v>0</v>
      </c>
      <c r="X171" s="99">
        <v>1</v>
      </c>
      <c r="Y171" s="99">
        <v>0</v>
      </c>
      <c r="Z171" s="99"/>
      <c r="AA171" s="99"/>
      <c r="AB171" s="99"/>
    </row>
    <row r="172" spans="1:206" x14ac:dyDescent="0.2">
      <c r="A172" s="99">
        <v>50</v>
      </c>
      <c r="B172" s="99">
        <v>0</v>
      </c>
      <c r="C172" s="99">
        <v>0</v>
      </c>
      <c r="D172" s="99">
        <v>1</v>
      </c>
      <c r="E172" s="99">
        <v>225</v>
      </c>
      <c r="F172" s="99">
        <f>ROUND(Source!AV167,O172)</f>
        <v>215893</v>
      </c>
      <c r="G172" s="99" t="s">
        <v>176</v>
      </c>
      <c r="H172" s="99" t="s">
        <v>175</v>
      </c>
      <c r="I172" s="99"/>
      <c r="J172" s="99"/>
      <c r="K172" s="99">
        <v>225</v>
      </c>
      <c r="L172" s="99">
        <v>4</v>
      </c>
      <c r="M172" s="99">
        <v>3</v>
      </c>
      <c r="N172" s="99" t="s">
        <v>74</v>
      </c>
      <c r="O172" s="99">
        <v>0</v>
      </c>
      <c r="P172" s="99"/>
      <c r="Q172" s="99"/>
      <c r="R172" s="99"/>
      <c r="S172" s="99"/>
      <c r="T172" s="99"/>
      <c r="U172" s="99"/>
      <c r="V172" s="99"/>
      <c r="W172" s="99">
        <v>215893</v>
      </c>
      <c r="X172" s="99">
        <v>1</v>
      </c>
      <c r="Y172" s="99">
        <v>215893</v>
      </c>
      <c r="Z172" s="99"/>
      <c r="AA172" s="99"/>
      <c r="AB172" s="99"/>
    </row>
    <row r="173" spans="1:206" x14ac:dyDescent="0.2">
      <c r="A173" s="99">
        <v>50</v>
      </c>
      <c r="B173" s="99">
        <v>0</v>
      </c>
      <c r="C173" s="99">
        <v>0</v>
      </c>
      <c r="D173" s="99">
        <v>1</v>
      </c>
      <c r="E173" s="99">
        <v>226</v>
      </c>
      <c r="F173" s="99">
        <f>ROUND(Source!AW167,O173)</f>
        <v>2088</v>
      </c>
      <c r="G173" s="99" t="s">
        <v>174</v>
      </c>
      <c r="H173" s="99" t="s">
        <v>173</v>
      </c>
      <c r="I173" s="99"/>
      <c r="J173" s="99"/>
      <c r="K173" s="99">
        <v>226</v>
      </c>
      <c r="L173" s="99">
        <v>5</v>
      </c>
      <c r="M173" s="99">
        <v>3</v>
      </c>
      <c r="N173" s="99" t="s">
        <v>74</v>
      </c>
      <c r="O173" s="99">
        <v>0</v>
      </c>
      <c r="P173" s="99"/>
      <c r="Q173" s="99"/>
      <c r="R173" s="99"/>
      <c r="S173" s="99"/>
      <c r="T173" s="99"/>
      <c r="U173" s="99"/>
      <c r="V173" s="99"/>
      <c r="W173" s="99">
        <v>2088</v>
      </c>
      <c r="X173" s="99">
        <v>1</v>
      </c>
      <c r="Y173" s="99">
        <v>2088</v>
      </c>
      <c r="Z173" s="99"/>
      <c r="AA173" s="99"/>
      <c r="AB173" s="99"/>
    </row>
    <row r="174" spans="1:206" x14ac:dyDescent="0.2">
      <c r="A174" s="99">
        <v>50</v>
      </c>
      <c r="B174" s="99">
        <v>0</v>
      </c>
      <c r="C174" s="99">
        <v>0</v>
      </c>
      <c r="D174" s="99">
        <v>1</v>
      </c>
      <c r="E174" s="99">
        <v>227</v>
      </c>
      <c r="F174" s="99">
        <f>ROUND(Source!AX167,O174)</f>
        <v>0</v>
      </c>
      <c r="G174" s="99" t="s">
        <v>172</v>
      </c>
      <c r="H174" s="99" t="s">
        <v>171</v>
      </c>
      <c r="I174" s="99"/>
      <c r="J174" s="99"/>
      <c r="K174" s="99">
        <v>227</v>
      </c>
      <c r="L174" s="99">
        <v>6</v>
      </c>
      <c r="M174" s="99">
        <v>3</v>
      </c>
      <c r="N174" s="99" t="s">
        <v>74</v>
      </c>
      <c r="O174" s="99">
        <v>0</v>
      </c>
      <c r="P174" s="99"/>
      <c r="Q174" s="99"/>
      <c r="R174" s="99"/>
      <c r="S174" s="99"/>
      <c r="T174" s="99"/>
      <c r="U174" s="99"/>
      <c r="V174" s="99"/>
      <c r="W174" s="99">
        <v>0</v>
      </c>
      <c r="X174" s="99">
        <v>1</v>
      </c>
      <c r="Y174" s="99">
        <v>0</v>
      </c>
      <c r="Z174" s="99"/>
      <c r="AA174" s="99"/>
      <c r="AB174" s="99"/>
    </row>
    <row r="175" spans="1:206" x14ac:dyDescent="0.2">
      <c r="A175" s="99">
        <v>50</v>
      </c>
      <c r="B175" s="99">
        <v>0</v>
      </c>
      <c r="C175" s="99">
        <v>0</v>
      </c>
      <c r="D175" s="99">
        <v>1</v>
      </c>
      <c r="E175" s="99">
        <v>228</v>
      </c>
      <c r="F175" s="99">
        <f>ROUND(Source!AY167,O175)</f>
        <v>2088</v>
      </c>
      <c r="G175" s="99" t="s">
        <v>170</v>
      </c>
      <c r="H175" s="99" t="s">
        <v>169</v>
      </c>
      <c r="I175" s="99"/>
      <c r="J175" s="99"/>
      <c r="K175" s="99">
        <v>228</v>
      </c>
      <c r="L175" s="99">
        <v>7</v>
      </c>
      <c r="M175" s="99">
        <v>3</v>
      </c>
      <c r="N175" s="99" t="s">
        <v>74</v>
      </c>
      <c r="O175" s="99">
        <v>0</v>
      </c>
      <c r="P175" s="99"/>
      <c r="Q175" s="99"/>
      <c r="R175" s="99"/>
      <c r="S175" s="99"/>
      <c r="T175" s="99"/>
      <c r="U175" s="99"/>
      <c r="V175" s="99"/>
      <c r="W175" s="99">
        <v>2088</v>
      </c>
      <c r="X175" s="99">
        <v>1</v>
      </c>
      <c r="Y175" s="99">
        <v>2088</v>
      </c>
      <c r="Z175" s="99"/>
      <c r="AA175" s="99"/>
      <c r="AB175" s="99"/>
    </row>
    <row r="176" spans="1:206" x14ac:dyDescent="0.2">
      <c r="A176" s="99">
        <v>50</v>
      </c>
      <c r="B176" s="99">
        <v>0</v>
      </c>
      <c r="C176" s="99">
        <v>0</v>
      </c>
      <c r="D176" s="99">
        <v>1</v>
      </c>
      <c r="E176" s="99">
        <v>216</v>
      </c>
      <c r="F176" s="99">
        <f>ROUND(Source!AP167,O176)</f>
        <v>213805</v>
      </c>
      <c r="G176" s="99" t="s">
        <v>168</v>
      </c>
      <c r="H176" s="99" t="s">
        <v>167</v>
      </c>
      <c r="I176" s="99"/>
      <c r="J176" s="99"/>
      <c r="K176" s="99">
        <v>216</v>
      </c>
      <c r="L176" s="99">
        <v>8</v>
      </c>
      <c r="M176" s="99">
        <v>3</v>
      </c>
      <c r="N176" s="99" t="s">
        <v>74</v>
      </c>
      <c r="O176" s="99">
        <v>0</v>
      </c>
      <c r="P176" s="99"/>
      <c r="Q176" s="99"/>
      <c r="R176" s="99"/>
      <c r="S176" s="99"/>
      <c r="T176" s="99"/>
      <c r="U176" s="99"/>
      <c r="V176" s="99"/>
      <c r="W176" s="99">
        <v>213805</v>
      </c>
      <c r="X176" s="99">
        <v>1</v>
      </c>
      <c r="Y176" s="99">
        <v>213805</v>
      </c>
      <c r="Z176" s="99"/>
      <c r="AA176" s="99"/>
      <c r="AB176" s="99"/>
    </row>
    <row r="177" spans="1:28" x14ac:dyDescent="0.2">
      <c r="A177" s="99">
        <v>50</v>
      </c>
      <c r="B177" s="99">
        <v>0</v>
      </c>
      <c r="C177" s="99">
        <v>0</v>
      </c>
      <c r="D177" s="99">
        <v>1</v>
      </c>
      <c r="E177" s="99">
        <v>223</v>
      </c>
      <c r="F177" s="99">
        <f>ROUND(Source!AQ167,O177)</f>
        <v>0</v>
      </c>
      <c r="G177" s="99" t="s">
        <v>166</v>
      </c>
      <c r="H177" s="99" t="s">
        <v>165</v>
      </c>
      <c r="I177" s="99"/>
      <c r="J177" s="99"/>
      <c r="K177" s="99">
        <v>223</v>
      </c>
      <c r="L177" s="99">
        <v>9</v>
      </c>
      <c r="M177" s="99">
        <v>3</v>
      </c>
      <c r="N177" s="99" t="s">
        <v>74</v>
      </c>
      <c r="O177" s="99">
        <v>0</v>
      </c>
      <c r="P177" s="99"/>
      <c r="Q177" s="99"/>
      <c r="R177" s="99"/>
      <c r="S177" s="99"/>
      <c r="T177" s="99"/>
      <c r="U177" s="99"/>
      <c r="V177" s="99"/>
      <c r="W177" s="99">
        <v>0</v>
      </c>
      <c r="X177" s="99">
        <v>1</v>
      </c>
      <c r="Y177" s="99">
        <v>0</v>
      </c>
      <c r="Z177" s="99"/>
      <c r="AA177" s="99"/>
      <c r="AB177" s="99"/>
    </row>
    <row r="178" spans="1:28" x14ac:dyDescent="0.2">
      <c r="A178" s="99">
        <v>50</v>
      </c>
      <c r="B178" s="99">
        <v>0</v>
      </c>
      <c r="C178" s="99">
        <v>0</v>
      </c>
      <c r="D178" s="99">
        <v>1</v>
      </c>
      <c r="E178" s="99">
        <v>229</v>
      </c>
      <c r="F178" s="99">
        <f>ROUND(Source!AZ167,O178)</f>
        <v>213805</v>
      </c>
      <c r="G178" s="99" t="s">
        <v>164</v>
      </c>
      <c r="H178" s="99" t="s">
        <v>163</v>
      </c>
      <c r="I178" s="99"/>
      <c r="J178" s="99"/>
      <c r="K178" s="99">
        <v>229</v>
      </c>
      <c r="L178" s="99">
        <v>10</v>
      </c>
      <c r="M178" s="99">
        <v>3</v>
      </c>
      <c r="N178" s="99" t="s">
        <v>74</v>
      </c>
      <c r="O178" s="99">
        <v>0</v>
      </c>
      <c r="P178" s="99"/>
      <c r="Q178" s="99"/>
      <c r="R178" s="99"/>
      <c r="S178" s="99"/>
      <c r="T178" s="99"/>
      <c r="U178" s="99"/>
      <c r="V178" s="99"/>
      <c r="W178" s="99">
        <v>213805</v>
      </c>
      <c r="X178" s="99">
        <v>1</v>
      </c>
      <c r="Y178" s="99">
        <v>213805</v>
      </c>
      <c r="Z178" s="99"/>
      <c r="AA178" s="99"/>
      <c r="AB178" s="99"/>
    </row>
    <row r="179" spans="1:28" x14ac:dyDescent="0.2">
      <c r="A179" s="99">
        <v>50</v>
      </c>
      <c r="B179" s="99">
        <v>0</v>
      </c>
      <c r="C179" s="99">
        <v>0</v>
      </c>
      <c r="D179" s="99">
        <v>1</v>
      </c>
      <c r="E179" s="99">
        <v>203</v>
      </c>
      <c r="F179" s="99">
        <f>ROUND(Source!Q167,O179)</f>
        <v>651</v>
      </c>
      <c r="G179" s="99" t="s">
        <v>162</v>
      </c>
      <c r="H179" s="99" t="s">
        <v>44</v>
      </c>
      <c r="I179" s="99"/>
      <c r="J179" s="99"/>
      <c r="K179" s="99">
        <v>203</v>
      </c>
      <c r="L179" s="99">
        <v>11</v>
      </c>
      <c r="M179" s="99">
        <v>3</v>
      </c>
      <c r="N179" s="99" t="s">
        <v>74</v>
      </c>
      <c r="O179" s="99">
        <v>0</v>
      </c>
      <c r="P179" s="99"/>
      <c r="Q179" s="99"/>
      <c r="R179" s="99"/>
      <c r="S179" s="99"/>
      <c r="T179" s="99"/>
      <c r="U179" s="99"/>
      <c r="V179" s="99"/>
      <c r="W179" s="99">
        <v>651</v>
      </c>
      <c r="X179" s="99">
        <v>1</v>
      </c>
      <c r="Y179" s="99">
        <v>651</v>
      </c>
      <c r="Z179" s="99"/>
      <c r="AA179" s="99"/>
      <c r="AB179" s="99"/>
    </row>
    <row r="180" spans="1:28" x14ac:dyDescent="0.2">
      <c r="A180" s="99">
        <v>50</v>
      </c>
      <c r="B180" s="99">
        <v>0</v>
      </c>
      <c r="C180" s="99">
        <v>0</v>
      </c>
      <c r="D180" s="99">
        <v>1</v>
      </c>
      <c r="E180" s="99">
        <v>231</v>
      </c>
      <c r="F180" s="99">
        <f>ROUND(Source!BB167,O180)</f>
        <v>0</v>
      </c>
      <c r="G180" s="99" t="s">
        <v>161</v>
      </c>
      <c r="H180" s="99" t="s">
        <v>160</v>
      </c>
      <c r="I180" s="99"/>
      <c r="J180" s="99"/>
      <c r="K180" s="99">
        <v>231</v>
      </c>
      <c r="L180" s="99">
        <v>12</v>
      </c>
      <c r="M180" s="99">
        <v>3</v>
      </c>
      <c r="N180" s="99" t="s">
        <v>74</v>
      </c>
      <c r="O180" s="99">
        <v>0</v>
      </c>
      <c r="P180" s="99"/>
      <c r="Q180" s="99"/>
      <c r="R180" s="99"/>
      <c r="S180" s="99"/>
      <c r="T180" s="99"/>
      <c r="U180" s="99"/>
      <c r="V180" s="99"/>
      <c r="W180" s="99">
        <v>0</v>
      </c>
      <c r="X180" s="99">
        <v>1</v>
      </c>
      <c r="Y180" s="99">
        <v>0</v>
      </c>
      <c r="Z180" s="99"/>
      <c r="AA180" s="99"/>
      <c r="AB180" s="99"/>
    </row>
    <row r="181" spans="1:28" x14ac:dyDescent="0.2">
      <c r="A181" s="99">
        <v>50</v>
      </c>
      <c r="B181" s="99">
        <v>0</v>
      </c>
      <c r="C181" s="99">
        <v>0</v>
      </c>
      <c r="D181" s="99">
        <v>1</v>
      </c>
      <c r="E181" s="99">
        <v>204</v>
      </c>
      <c r="F181" s="99">
        <f>ROUND(Source!R167,O181)</f>
        <v>211</v>
      </c>
      <c r="G181" s="99" t="s">
        <v>159</v>
      </c>
      <c r="H181" s="99" t="s">
        <v>158</v>
      </c>
      <c r="I181" s="99"/>
      <c r="J181" s="99"/>
      <c r="K181" s="99">
        <v>204</v>
      </c>
      <c r="L181" s="99">
        <v>13</v>
      </c>
      <c r="M181" s="99">
        <v>3</v>
      </c>
      <c r="N181" s="99" t="s">
        <v>74</v>
      </c>
      <c r="O181" s="99">
        <v>0</v>
      </c>
      <c r="P181" s="99"/>
      <c r="Q181" s="99"/>
      <c r="R181" s="99"/>
      <c r="S181" s="99"/>
      <c r="T181" s="99"/>
      <c r="U181" s="99"/>
      <c r="V181" s="99"/>
      <c r="W181" s="99">
        <v>211</v>
      </c>
      <c r="X181" s="99">
        <v>1</v>
      </c>
      <c r="Y181" s="99">
        <v>211</v>
      </c>
      <c r="Z181" s="99"/>
      <c r="AA181" s="99"/>
      <c r="AB181" s="99"/>
    </row>
    <row r="182" spans="1:28" x14ac:dyDescent="0.2">
      <c r="A182" s="99">
        <v>50</v>
      </c>
      <c r="B182" s="99">
        <v>0</v>
      </c>
      <c r="C182" s="99">
        <v>0</v>
      </c>
      <c r="D182" s="99">
        <v>1</v>
      </c>
      <c r="E182" s="99">
        <v>205</v>
      </c>
      <c r="F182" s="99">
        <f>ROUND(Source!S167,O182)</f>
        <v>93885</v>
      </c>
      <c r="G182" s="99" t="s">
        <v>157</v>
      </c>
      <c r="H182" s="99" t="s">
        <v>156</v>
      </c>
      <c r="I182" s="99"/>
      <c r="J182" s="99"/>
      <c r="K182" s="99">
        <v>205</v>
      </c>
      <c r="L182" s="99">
        <v>14</v>
      </c>
      <c r="M182" s="99">
        <v>3</v>
      </c>
      <c r="N182" s="99" t="s">
        <v>74</v>
      </c>
      <c r="O182" s="99">
        <v>0</v>
      </c>
      <c r="P182" s="99"/>
      <c r="Q182" s="99"/>
      <c r="R182" s="99"/>
      <c r="S182" s="99"/>
      <c r="T182" s="99"/>
      <c r="U182" s="99"/>
      <c r="V182" s="99"/>
      <c r="W182" s="99">
        <v>93885</v>
      </c>
      <c r="X182" s="99">
        <v>1</v>
      </c>
      <c r="Y182" s="99">
        <v>93885</v>
      </c>
      <c r="Z182" s="99"/>
      <c r="AA182" s="99"/>
      <c r="AB182" s="99"/>
    </row>
    <row r="183" spans="1:28" x14ac:dyDescent="0.2">
      <c r="A183" s="99">
        <v>50</v>
      </c>
      <c r="B183" s="99">
        <v>0</v>
      </c>
      <c r="C183" s="99">
        <v>0</v>
      </c>
      <c r="D183" s="99">
        <v>1</v>
      </c>
      <c r="E183" s="99">
        <v>232</v>
      </c>
      <c r="F183" s="99">
        <f>ROUND(Source!BC167,O183)</f>
        <v>0</v>
      </c>
      <c r="G183" s="99" t="s">
        <v>155</v>
      </c>
      <c r="H183" s="99" t="s">
        <v>154</v>
      </c>
      <c r="I183" s="99"/>
      <c r="J183" s="99"/>
      <c r="K183" s="99">
        <v>232</v>
      </c>
      <c r="L183" s="99">
        <v>15</v>
      </c>
      <c r="M183" s="99">
        <v>3</v>
      </c>
      <c r="N183" s="99" t="s">
        <v>74</v>
      </c>
      <c r="O183" s="99">
        <v>0</v>
      </c>
      <c r="P183" s="99"/>
      <c r="Q183" s="99"/>
      <c r="R183" s="99"/>
      <c r="S183" s="99"/>
      <c r="T183" s="99"/>
      <c r="U183" s="99"/>
      <c r="V183" s="99"/>
      <c r="W183" s="99">
        <v>0</v>
      </c>
      <c r="X183" s="99">
        <v>1</v>
      </c>
      <c r="Y183" s="99">
        <v>0</v>
      </c>
      <c r="Z183" s="99"/>
      <c r="AA183" s="99"/>
      <c r="AB183" s="99"/>
    </row>
    <row r="184" spans="1:28" x14ac:dyDescent="0.2">
      <c r="A184" s="99">
        <v>50</v>
      </c>
      <c r="B184" s="99">
        <v>0</v>
      </c>
      <c r="C184" s="99">
        <v>0</v>
      </c>
      <c r="D184" s="99">
        <v>1</v>
      </c>
      <c r="E184" s="99">
        <v>214</v>
      </c>
      <c r="F184" s="99">
        <f>ROUND(Source!AS167,O184)</f>
        <v>0</v>
      </c>
      <c r="G184" s="99" t="s">
        <v>153</v>
      </c>
      <c r="H184" s="99" t="s">
        <v>152</v>
      </c>
      <c r="I184" s="99"/>
      <c r="J184" s="99"/>
      <c r="K184" s="99">
        <v>214</v>
      </c>
      <c r="L184" s="99">
        <v>16</v>
      </c>
      <c r="M184" s="99">
        <v>3</v>
      </c>
      <c r="N184" s="99" t="s">
        <v>74</v>
      </c>
      <c r="O184" s="99">
        <v>0</v>
      </c>
      <c r="P184" s="99"/>
      <c r="Q184" s="99"/>
      <c r="R184" s="99"/>
      <c r="S184" s="99"/>
      <c r="T184" s="99"/>
      <c r="U184" s="99"/>
      <c r="V184" s="99"/>
      <c r="W184" s="99">
        <v>0</v>
      </c>
      <c r="X184" s="99">
        <v>1</v>
      </c>
      <c r="Y184" s="99">
        <v>0</v>
      </c>
      <c r="Z184" s="99"/>
      <c r="AA184" s="99"/>
      <c r="AB184" s="99"/>
    </row>
    <row r="185" spans="1:28" x14ac:dyDescent="0.2">
      <c r="A185" s="99">
        <v>50</v>
      </c>
      <c r="B185" s="99">
        <v>0</v>
      </c>
      <c r="C185" s="99">
        <v>0</v>
      </c>
      <c r="D185" s="99">
        <v>1</v>
      </c>
      <c r="E185" s="99">
        <v>215</v>
      </c>
      <c r="F185" s="99">
        <f>ROUND(Source!AT167,O185)</f>
        <v>13357</v>
      </c>
      <c r="G185" s="99" t="s">
        <v>151</v>
      </c>
      <c r="H185" s="99" t="s">
        <v>150</v>
      </c>
      <c r="I185" s="99"/>
      <c r="J185" s="99"/>
      <c r="K185" s="99">
        <v>215</v>
      </c>
      <c r="L185" s="99">
        <v>17</v>
      </c>
      <c r="M185" s="99">
        <v>3</v>
      </c>
      <c r="N185" s="99" t="s">
        <v>74</v>
      </c>
      <c r="O185" s="99">
        <v>0</v>
      </c>
      <c r="P185" s="99"/>
      <c r="Q185" s="99"/>
      <c r="R185" s="99"/>
      <c r="S185" s="99"/>
      <c r="T185" s="99"/>
      <c r="U185" s="99"/>
      <c r="V185" s="99"/>
      <c r="W185" s="99">
        <v>13357</v>
      </c>
      <c r="X185" s="99">
        <v>1</v>
      </c>
      <c r="Y185" s="99">
        <v>13357</v>
      </c>
      <c r="Z185" s="99"/>
      <c r="AA185" s="99"/>
      <c r="AB185" s="99"/>
    </row>
    <row r="186" spans="1:28" x14ac:dyDescent="0.2">
      <c r="A186" s="99">
        <v>50</v>
      </c>
      <c r="B186" s="99">
        <v>0</v>
      </c>
      <c r="C186" s="99">
        <v>0</v>
      </c>
      <c r="D186" s="99">
        <v>1</v>
      </c>
      <c r="E186" s="99">
        <v>217</v>
      </c>
      <c r="F186" s="99">
        <f>ROUND(Source!AU167,O186)</f>
        <v>188391</v>
      </c>
      <c r="G186" s="99" t="s">
        <v>149</v>
      </c>
      <c r="H186" s="99" t="s">
        <v>148</v>
      </c>
      <c r="I186" s="99"/>
      <c r="J186" s="99"/>
      <c r="K186" s="99">
        <v>217</v>
      </c>
      <c r="L186" s="99">
        <v>18</v>
      </c>
      <c r="M186" s="99">
        <v>3</v>
      </c>
      <c r="N186" s="99" t="s">
        <v>74</v>
      </c>
      <c r="O186" s="99">
        <v>0</v>
      </c>
      <c r="P186" s="99"/>
      <c r="Q186" s="99"/>
      <c r="R186" s="99"/>
      <c r="S186" s="99"/>
      <c r="T186" s="99"/>
      <c r="U186" s="99"/>
      <c r="V186" s="99"/>
      <c r="W186" s="99">
        <v>188391</v>
      </c>
      <c r="X186" s="99">
        <v>1</v>
      </c>
      <c r="Y186" s="99">
        <v>188391</v>
      </c>
      <c r="Z186" s="99"/>
      <c r="AA186" s="99"/>
      <c r="AB186" s="99"/>
    </row>
    <row r="187" spans="1:28" x14ac:dyDescent="0.2">
      <c r="A187" s="99">
        <v>50</v>
      </c>
      <c r="B187" s="99">
        <v>0</v>
      </c>
      <c r="C187" s="99">
        <v>0</v>
      </c>
      <c r="D187" s="99">
        <v>1</v>
      </c>
      <c r="E187" s="99">
        <v>230</v>
      </c>
      <c r="F187" s="99">
        <f>ROUND(Source!BA167,O187)</f>
        <v>0</v>
      </c>
      <c r="G187" s="99" t="s">
        <v>147</v>
      </c>
      <c r="H187" s="99" t="s">
        <v>146</v>
      </c>
      <c r="I187" s="99"/>
      <c r="J187" s="99"/>
      <c r="K187" s="99">
        <v>230</v>
      </c>
      <c r="L187" s="99">
        <v>19</v>
      </c>
      <c r="M187" s="99">
        <v>3</v>
      </c>
      <c r="N187" s="99" t="s">
        <v>74</v>
      </c>
      <c r="O187" s="99">
        <v>0</v>
      </c>
      <c r="P187" s="99"/>
      <c r="Q187" s="99"/>
      <c r="R187" s="99"/>
      <c r="S187" s="99"/>
      <c r="T187" s="99"/>
      <c r="U187" s="99"/>
      <c r="V187" s="99"/>
      <c r="W187" s="99">
        <v>0</v>
      </c>
      <c r="X187" s="99">
        <v>1</v>
      </c>
      <c r="Y187" s="99">
        <v>0</v>
      </c>
      <c r="Z187" s="99"/>
      <c r="AA187" s="99"/>
      <c r="AB187" s="99"/>
    </row>
    <row r="188" spans="1:28" x14ac:dyDescent="0.2">
      <c r="A188" s="99">
        <v>50</v>
      </c>
      <c r="B188" s="99">
        <v>0</v>
      </c>
      <c r="C188" s="99">
        <v>0</v>
      </c>
      <c r="D188" s="99">
        <v>1</v>
      </c>
      <c r="E188" s="99">
        <v>206</v>
      </c>
      <c r="F188" s="99">
        <f>ROUND(Source!T167,O188)</f>
        <v>0</v>
      </c>
      <c r="G188" s="99" t="s">
        <v>145</v>
      </c>
      <c r="H188" s="99" t="s">
        <v>60</v>
      </c>
      <c r="I188" s="99"/>
      <c r="J188" s="99"/>
      <c r="K188" s="99">
        <v>206</v>
      </c>
      <c r="L188" s="99">
        <v>20</v>
      </c>
      <c r="M188" s="99">
        <v>3</v>
      </c>
      <c r="N188" s="99" t="s">
        <v>74</v>
      </c>
      <c r="O188" s="99">
        <v>0</v>
      </c>
      <c r="P188" s="99"/>
      <c r="Q188" s="99"/>
      <c r="R188" s="99"/>
      <c r="S188" s="99"/>
      <c r="T188" s="99"/>
      <c r="U188" s="99"/>
      <c r="V188" s="99"/>
      <c r="W188" s="99">
        <v>0</v>
      </c>
      <c r="X188" s="99">
        <v>1</v>
      </c>
      <c r="Y188" s="99">
        <v>0</v>
      </c>
      <c r="Z188" s="99"/>
      <c r="AA188" s="99"/>
      <c r="AB188" s="99"/>
    </row>
    <row r="189" spans="1:28" x14ac:dyDescent="0.2">
      <c r="A189" s="99">
        <v>50</v>
      </c>
      <c r="B189" s="99">
        <v>0</v>
      </c>
      <c r="C189" s="99">
        <v>0</v>
      </c>
      <c r="D189" s="99">
        <v>1</v>
      </c>
      <c r="E189" s="99">
        <v>207</v>
      </c>
      <c r="F189" s="99">
        <f>Source!U167</f>
        <v>256.52350000000001</v>
      </c>
      <c r="G189" s="99" t="s">
        <v>144</v>
      </c>
      <c r="H189" s="99" t="s">
        <v>143</v>
      </c>
      <c r="I189" s="99"/>
      <c r="J189" s="99"/>
      <c r="K189" s="99">
        <v>207</v>
      </c>
      <c r="L189" s="99">
        <v>21</v>
      </c>
      <c r="M189" s="99">
        <v>3</v>
      </c>
      <c r="N189" s="99" t="s">
        <v>74</v>
      </c>
      <c r="O189" s="99">
        <v>-1</v>
      </c>
      <c r="P189" s="99"/>
      <c r="Q189" s="99"/>
      <c r="R189" s="99"/>
      <c r="S189" s="99"/>
      <c r="T189" s="99"/>
      <c r="U189" s="99"/>
      <c r="V189" s="99"/>
      <c r="W189" s="99">
        <v>256.52350000000001</v>
      </c>
      <c r="X189" s="99">
        <v>1</v>
      </c>
      <c r="Y189" s="99">
        <v>256.52350000000001</v>
      </c>
      <c r="Z189" s="99"/>
      <c r="AA189" s="99"/>
      <c r="AB189" s="99"/>
    </row>
    <row r="190" spans="1:28" x14ac:dyDescent="0.2">
      <c r="A190" s="99">
        <v>50</v>
      </c>
      <c r="B190" s="99">
        <v>0</v>
      </c>
      <c r="C190" s="99">
        <v>0</v>
      </c>
      <c r="D190" s="99">
        <v>1</v>
      </c>
      <c r="E190" s="99">
        <v>208</v>
      </c>
      <c r="F190" s="99">
        <f>Source!V167</f>
        <v>0.77059999999999995</v>
      </c>
      <c r="G190" s="99" t="s">
        <v>142</v>
      </c>
      <c r="H190" s="99" t="s">
        <v>141</v>
      </c>
      <c r="I190" s="99"/>
      <c r="J190" s="99"/>
      <c r="K190" s="99">
        <v>208</v>
      </c>
      <c r="L190" s="99">
        <v>22</v>
      </c>
      <c r="M190" s="99">
        <v>3</v>
      </c>
      <c r="N190" s="99" t="s">
        <v>74</v>
      </c>
      <c r="O190" s="99">
        <v>-1</v>
      </c>
      <c r="P190" s="99"/>
      <c r="Q190" s="99"/>
      <c r="R190" s="99"/>
      <c r="S190" s="99"/>
      <c r="T190" s="99"/>
      <c r="U190" s="99"/>
      <c r="V190" s="99"/>
      <c r="W190" s="99">
        <v>0.77059999999999995</v>
      </c>
      <c r="X190" s="99">
        <v>1</v>
      </c>
      <c r="Y190" s="99">
        <v>0.77059999999999995</v>
      </c>
      <c r="Z190" s="99"/>
      <c r="AA190" s="99"/>
      <c r="AB190" s="99"/>
    </row>
    <row r="191" spans="1:28" x14ac:dyDescent="0.2">
      <c r="A191" s="99">
        <v>50</v>
      </c>
      <c r="B191" s="99">
        <v>0</v>
      </c>
      <c r="C191" s="99">
        <v>0</v>
      </c>
      <c r="D191" s="99">
        <v>1</v>
      </c>
      <c r="E191" s="99">
        <v>209</v>
      </c>
      <c r="F191" s="99">
        <f>ROUND(Source!W167,O191)</f>
        <v>0</v>
      </c>
      <c r="G191" s="99" t="s">
        <v>140</v>
      </c>
      <c r="H191" s="99" t="s">
        <v>139</v>
      </c>
      <c r="I191" s="99"/>
      <c r="J191" s="99"/>
      <c r="K191" s="99">
        <v>209</v>
      </c>
      <c r="L191" s="99">
        <v>23</v>
      </c>
      <c r="M191" s="99">
        <v>3</v>
      </c>
      <c r="N191" s="99" t="s">
        <v>74</v>
      </c>
      <c r="O191" s="99">
        <v>0</v>
      </c>
      <c r="P191" s="99"/>
      <c r="Q191" s="99"/>
      <c r="R191" s="99"/>
      <c r="S191" s="99"/>
      <c r="T191" s="99"/>
      <c r="U191" s="99"/>
      <c r="V191" s="99"/>
      <c r="W191" s="99">
        <v>0</v>
      </c>
      <c r="X191" s="99">
        <v>1</v>
      </c>
      <c r="Y191" s="99">
        <v>0</v>
      </c>
      <c r="Z191" s="99"/>
      <c r="AA191" s="99"/>
      <c r="AB191" s="99"/>
    </row>
    <row r="192" spans="1:28" x14ac:dyDescent="0.2">
      <c r="A192" s="99">
        <v>50</v>
      </c>
      <c r="B192" s="99">
        <v>0</v>
      </c>
      <c r="C192" s="99">
        <v>0</v>
      </c>
      <c r="D192" s="99">
        <v>1</v>
      </c>
      <c r="E192" s="99">
        <v>233</v>
      </c>
      <c r="F192" s="99">
        <f>ROUND(Source!BD167,O192)</f>
        <v>0</v>
      </c>
      <c r="G192" s="99" t="s">
        <v>138</v>
      </c>
      <c r="H192" s="99" t="s">
        <v>137</v>
      </c>
      <c r="I192" s="99"/>
      <c r="J192" s="99"/>
      <c r="K192" s="99">
        <v>233</v>
      </c>
      <c r="L192" s="99">
        <v>24</v>
      </c>
      <c r="M192" s="99">
        <v>3</v>
      </c>
      <c r="N192" s="99" t="s">
        <v>74</v>
      </c>
      <c r="O192" s="99">
        <v>0</v>
      </c>
      <c r="P192" s="99"/>
      <c r="Q192" s="99"/>
      <c r="R192" s="99"/>
      <c r="S192" s="99"/>
      <c r="T192" s="99"/>
      <c r="U192" s="99"/>
      <c r="V192" s="99"/>
      <c r="W192" s="99">
        <v>0</v>
      </c>
      <c r="X192" s="99">
        <v>1</v>
      </c>
      <c r="Y192" s="99">
        <v>0</v>
      </c>
      <c r="Z192" s="99"/>
      <c r="AA192" s="99"/>
      <c r="AB192" s="99"/>
    </row>
    <row r="193" spans="1:28" x14ac:dyDescent="0.2">
      <c r="A193" s="99">
        <v>50</v>
      </c>
      <c r="B193" s="99">
        <v>0</v>
      </c>
      <c r="C193" s="99">
        <v>0</v>
      </c>
      <c r="D193" s="99">
        <v>1</v>
      </c>
      <c r="E193" s="99">
        <v>210</v>
      </c>
      <c r="F193" s="99">
        <f>ROUND(Source!X167,O193)</f>
        <v>70534</v>
      </c>
      <c r="G193" s="99" t="s">
        <v>136</v>
      </c>
      <c r="H193" s="99" t="s">
        <v>135</v>
      </c>
      <c r="I193" s="99"/>
      <c r="J193" s="99"/>
      <c r="K193" s="99">
        <v>210</v>
      </c>
      <c r="L193" s="99">
        <v>25</v>
      </c>
      <c r="M193" s="99">
        <v>3</v>
      </c>
      <c r="N193" s="99" t="s">
        <v>74</v>
      </c>
      <c r="O193" s="99">
        <v>0</v>
      </c>
      <c r="P193" s="99"/>
      <c r="Q193" s="99"/>
      <c r="R193" s="99"/>
      <c r="S193" s="99"/>
      <c r="T193" s="99"/>
      <c r="U193" s="99"/>
      <c r="V193" s="99"/>
      <c r="W193" s="99">
        <v>70534</v>
      </c>
      <c r="X193" s="99">
        <v>1</v>
      </c>
      <c r="Y193" s="99">
        <v>70534</v>
      </c>
      <c r="Z193" s="99"/>
      <c r="AA193" s="99"/>
      <c r="AB193" s="99"/>
    </row>
    <row r="194" spans="1:28" x14ac:dyDescent="0.2">
      <c r="A194" s="99">
        <v>50</v>
      </c>
      <c r="B194" s="99">
        <v>0</v>
      </c>
      <c r="C194" s="99">
        <v>0</v>
      </c>
      <c r="D194" s="99">
        <v>1</v>
      </c>
      <c r="E194" s="99">
        <v>211</v>
      </c>
      <c r="F194" s="99">
        <f>ROUND(Source!Y167,O194)</f>
        <v>34590</v>
      </c>
      <c r="G194" s="99" t="s">
        <v>134</v>
      </c>
      <c r="H194" s="99" t="s">
        <v>133</v>
      </c>
      <c r="I194" s="99"/>
      <c r="J194" s="99"/>
      <c r="K194" s="99">
        <v>211</v>
      </c>
      <c r="L194" s="99">
        <v>26</v>
      </c>
      <c r="M194" s="99">
        <v>3</v>
      </c>
      <c r="N194" s="99" t="s">
        <v>74</v>
      </c>
      <c r="O194" s="99">
        <v>0</v>
      </c>
      <c r="P194" s="99"/>
      <c r="Q194" s="99"/>
      <c r="R194" s="99"/>
      <c r="S194" s="99"/>
      <c r="T194" s="99"/>
      <c r="U194" s="99"/>
      <c r="V194" s="99"/>
      <c r="W194" s="99">
        <v>34590</v>
      </c>
      <c r="X194" s="99">
        <v>1</v>
      </c>
      <c r="Y194" s="99">
        <v>34590</v>
      </c>
      <c r="Z194" s="99"/>
      <c r="AA194" s="99"/>
      <c r="AB194" s="99"/>
    </row>
    <row r="195" spans="1:28" x14ac:dyDescent="0.2">
      <c r="A195" s="99">
        <v>50</v>
      </c>
      <c r="B195" s="99">
        <v>0</v>
      </c>
      <c r="C195" s="99">
        <v>0</v>
      </c>
      <c r="D195" s="99">
        <v>1</v>
      </c>
      <c r="E195" s="99">
        <v>224</v>
      </c>
      <c r="F195" s="99">
        <f>ROUND(Source!AR167,O195)</f>
        <v>415553</v>
      </c>
      <c r="G195" s="99" t="s">
        <v>132</v>
      </c>
      <c r="H195" s="99" t="s">
        <v>131</v>
      </c>
      <c r="I195" s="99"/>
      <c r="J195" s="99"/>
      <c r="K195" s="99">
        <v>224</v>
      </c>
      <c r="L195" s="99">
        <v>27</v>
      </c>
      <c r="M195" s="99">
        <v>3</v>
      </c>
      <c r="N195" s="99" t="s">
        <v>74</v>
      </c>
      <c r="O195" s="99">
        <v>0</v>
      </c>
      <c r="P195" s="99"/>
      <c r="Q195" s="99"/>
      <c r="R195" s="99"/>
      <c r="S195" s="99"/>
      <c r="T195" s="99"/>
      <c r="U195" s="99"/>
      <c r="V195" s="99"/>
      <c r="W195" s="99">
        <v>415553</v>
      </c>
      <c r="X195" s="99">
        <v>1</v>
      </c>
      <c r="Y195" s="99">
        <v>415553</v>
      </c>
      <c r="Z195" s="99"/>
      <c r="AA195" s="99"/>
      <c r="AB195" s="99"/>
    </row>
    <row r="198" spans="1:28" x14ac:dyDescent="0.2">
      <c r="A198" s="27">
        <v>70</v>
      </c>
      <c r="B198" s="27">
        <v>1</v>
      </c>
      <c r="D198" s="27">
        <v>1</v>
      </c>
      <c r="E198" s="27" t="s">
        <v>130</v>
      </c>
      <c r="F198" s="27" t="s">
        <v>129</v>
      </c>
      <c r="G198" s="27">
        <v>1</v>
      </c>
      <c r="H198" s="27">
        <v>0</v>
      </c>
      <c r="I198" s="27" t="s">
        <v>74</v>
      </c>
      <c r="J198" s="27">
        <v>1</v>
      </c>
      <c r="K198" s="27">
        <v>0</v>
      </c>
      <c r="L198" s="27" t="s">
        <v>74</v>
      </c>
      <c r="M198" s="27" t="s">
        <v>74</v>
      </c>
      <c r="N198" s="27">
        <v>0</v>
      </c>
      <c r="P198" s="27" t="s">
        <v>128</v>
      </c>
    </row>
    <row r="199" spans="1:28" x14ac:dyDescent="0.2">
      <c r="A199" s="27">
        <v>70</v>
      </c>
      <c r="B199" s="27">
        <v>1</v>
      </c>
      <c r="D199" s="27">
        <v>2</v>
      </c>
      <c r="E199" s="27" t="s">
        <v>127</v>
      </c>
      <c r="F199" s="27" t="s">
        <v>126</v>
      </c>
      <c r="G199" s="27">
        <v>0</v>
      </c>
      <c r="H199" s="27">
        <v>0</v>
      </c>
      <c r="I199" s="27" t="s">
        <v>74</v>
      </c>
      <c r="J199" s="27">
        <v>1</v>
      </c>
      <c r="K199" s="27">
        <v>0</v>
      </c>
      <c r="L199" s="27" t="s">
        <v>74</v>
      </c>
      <c r="M199" s="27" t="s">
        <v>74</v>
      </c>
      <c r="N199" s="27">
        <v>0</v>
      </c>
      <c r="P199" s="27" t="s">
        <v>125</v>
      </c>
    </row>
    <row r="200" spans="1:28" x14ac:dyDescent="0.2">
      <c r="A200" s="27">
        <v>70</v>
      </c>
      <c r="B200" s="27">
        <v>1</v>
      </c>
      <c r="D200" s="27">
        <v>3</v>
      </c>
      <c r="E200" s="27" t="s">
        <v>124</v>
      </c>
      <c r="F200" s="27" t="s">
        <v>123</v>
      </c>
      <c r="G200" s="27">
        <v>0</v>
      </c>
      <c r="H200" s="27">
        <v>0</v>
      </c>
      <c r="I200" s="27" t="s">
        <v>74</v>
      </c>
      <c r="J200" s="27">
        <v>1</v>
      </c>
      <c r="K200" s="27">
        <v>0</v>
      </c>
      <c r="L200" s="27" t="s">
        <v>74</v>
      </c>
      <c r="M200" s="27" t="s">
        <v>74</v>
      </c>
      <c r="N200" s="27">
        <v>0</v>
      </c>
      <c r="P200" s="27" t="s">
        <v>122</v>
      </c>
    </row>
    <row r="201" spans="1:28" x14ac:dyDescent="0.2">
      <c r="A201" s="27">
        <v>70</v>
      </c>
      <c r="B201" s="27">
        <v>1</v>
      </c>
      <c r="D201" s="27">
        <v>4</v>
      </c>
      <c r="E201" s="27" t="s">
        <v>121</v>
      </c>
      <c r="F201" s="27" t="s">
        <v>120</v>
      </c>
      <c r="G201" s="27">
        <v>1</v>
      </c>
      <c r="H201" s="27">
        <v>0</v>
      </c>
      <c r="I201" s="27" t="s">
        <v>74</v>
      </c>
      <c r="J201" s="27">
        <v>2</v>
      </c>
      <c r="K201" s="27">
        <v>0</v>
      </c>
      <c r="L201" s="27" t="s">
        <v>74</v>
      </c>
      <c r="M201" s="27" t="s">
        <v>74</v>
      </c>
      <c r="N201" s="27">
        <v>0</v>
      </c>
      <c r="P201" s="27" t="s">
        <v>74</v>
      </c>
    </row>
    <row r="202" spans="1:28" x14ac:dyDescent="0.2">
      <c r="A202" s="27">
        <v>70</v>
      </c>
      <c r="B202" s="27">
        <v>1</v>
      </c>
      <c r="D202" s="27">
        <v>5</v>
      </c>
      <c r="E202" s="27" t="s">
        <v>119</v>
      </c>
      <c r="F202" s="27" t="s">
        <v>118</v>
      </c>
      <c r="G202" s="27">
        <v>0</v>
      </c>
      <c r="H202" s="27">
        <v>0</v>
      </c>
      <c r="I202" s="27" t="s">
        <v>74</v>
      </c>
      <c r="J202" s="27">
        <v>2</v>
      </c>
      <c r="K202" s="27">
        <v>0</v>
      </c>
      <c r="L202" s="27" t="s">
        <v>74</v>
      </c>
      <c r="M202" s="27" t="s">
        <v>74</v>
      </c>
      <c r="N202" s="27">
        <v>0</v>
      </c>
      <c r="P202" s="27" t="s">
        <v>74</v>
      </c>
    </row>
    <row r="203" spans="1:28" x14ac:dyDescent="0.2">
      <c r="A203" s="27">
        <v>70</v>
      </c>
      <c r="B203" s="27">
        <v>1</v>
      </c>
      <c r="D203" s="27">
        <v>6</v>
      </c>
      <c r="E203" s="27" t="s">
        <v>117</v>
      </c>
      <c r="F203" s="27" t="s">
        <v>116</v>
      </c>
      <c r="G203" s="27">
        <v>0</v>
      </c>
      <c r="H203" s="27">
        <v>0</v>
      </c>
      <c r="I203" s="27" t="s">
        <v>74</v>
      </c>
      <c r="J203" s="27">
        <v>2</v>
      </c>
      <c r="K203" s="27">
        <v>0</v>
      </c>
      <c r="L203" s="27" t="s">
        <v>74</v>
      </c>
      <c r="M203" s="27" t="s">
        <v>74</v>
      </c>
      <c r="N203" s="27">
        <v>0</v>
      </c>
      <c r="P203" s="27" t="s">
        <v>74</v>
      </c>
    </row>
    <row r="204" spans="1:28" x14ac:dyDescent="0.2">
      <c r="A204" s="27">
        <v>70</v>
      </c>
      <c r="B204" s="27">
        <v>1</v>
      </c>
      <c r="D204" s="27">
        <v>7</v>
      </c>
      <c r="E204" s="27" t="s">
        <v>115</v>
      </c>
      <c r="F204" s="27" t="s">
        <v>114</v>
      </c>
      <c r="G204" s="27">
        <v>0</v>
      </c>
      <c r="H204" s="27">
        <v>0</v>
      </c>
      <c r="I204" s="27" t="s">
        <v>113</v>
      </c>
      <c r="J204" s="27">
        <v>0</v>
      </c>
      <c r="K204" s="27">
        <v>0</v>
      </c>
      <c r="L204" s="27" t="s">
        <v>74</v>
      </c>
      <c r="M204" s="27" t="s">
        <v>74</v>
      </c>
      <c r="N204" s="27">
        <v>0</v>
      </c>
      <c r="P204" s="27" t="s">
        <v>112</v>
      </c>
    </row>
    <row r="205" spans="1:28" x14ac:dyDescent="0.2">
      <c r="A205" s="27">
        <v>70</v>
      </c>
      <c r="B205" s="27">
        <v>1</v>
      </c>
      <c r="D205" s="27">
        <v>8</v>
      </c>
      <c r="E205" s="27" t="s">
        <v>109</v>
      </c>
      <c r="F205" s="27" t="s">
        <v>111</v>
      </c>
      <c r="G205" s="27">
        <v>0</v>
      </c>
      <c r="H205" s="27">
        <v>0</v>
      </c>
      <c r="I205" s="27" t="s">
        <v>110</v>
      </c>
      <c r="J205" s="27">
        <v>0</v>
      </c>
      <c r="K205" s="27">
        <v>0</v>
      </c>
      <c r="L205" s="27" t="s">
        <v>74</v>
      </c>
      <c r="M205" s="27" t="s">
        <v>74</v>
      </c>
      <c r="N205" s="27">
        <v>0</v>
      </c>
      <c r="P205" s="27" t="s">
        <v>109</v>
      </c>
    </row>
    <row r="206" spans="1:28" x14ac:dyDescent="0.2">
      <c r="A206" s="27">
        <v>70</v>
      </c>
      <c r="B206" s="27">
        <v>1</v>
      </c>
      <c r="D206" s="27">
        <v>9</v>
      </c>
      <c r="E206" s="27" t="s">
        <v>108</v>
      </c>
      <c r="F206" s="27" t="s">
        <v>107</v>
      </c>
      <c r="G206" s="27">
        <v>0</v>
      </c>
      <c r="H206" s="27">
        <v>0</v>
      </c>
      <c r="I206" s="27" t="s">
        <v>106</v>
      </c>
      <c r="J206" s="27">
        <v>0</v>
      </c>
      <c r="K206" s="27">
        <v>0</v>
      </c>
      <c r="L206" s="27" t="s">
        <v>74</v>
      </c>
      <c r="M206" s="27" t="s">
        <v>74</v>
      </c>
      <c r="N206" s="27">
        <v>0</v>
      </c>
      <c r="P206" s="27" t="s">
        <v>105</v>
      </c>
    </row>
    <row r="207" spans="1:28" x14ac:dyDescent="0.2">
      <c r="A207" s="27">
        <v>70</v>
      </c>
      <c r="B207" s="27">
        <v>1</v>
      </c>
      <c r="D207" s="27">
        <v>10</v>
      </c>
      <c r="E207" s="27" t="s">
        <v>104</v>
      </c>
      <c r="F207" s="27" t="s">
        <v>103</v>
      </c>
      <c r="G207" s="27">
        <v>0</v>
      </c>
      <c r="H207" s="27">
        <v>0</v>
      </c>
      <c r="I207" s="27" t="s">
        <v>102</v>
      </c>
      <c r="J207" s="27">
        <v>0</v>
      </c>
      <c r="K207" s="27">
        <v>0</v>
      </c>
      <c r="L207" s="27" t="s">
        <v>74</v>
      </c>
      <c r="M207" s="27" t="s">
        <v>74</v>
      </c>
      <c r="N207" s="27">
        <v>0</v>
      </c>
      <c r="P207" s="27" t="s">
        <v>101</v>
      </c>
    </row>
    <row r="208" spans="1:28" x14ac:dyDescent="0.2">
      <c r="A208" s="27">
        <v>70</v>
      </c>
      <c r="B208" s="27">
        <v>1</v>
      </c>
      <c r="D208" s="27">
        <v>11</v>
      </c>
      <c r="E208" s="27" t="s">
        <v>100</v>
      </c>
      <c r="F208" s="27" t="s">
        <v>99</v>
      </c>
      <c r="G208" s="27">
        <v>0</v>
      </c>
      <c r="H208" s="27">
        <v>0</v>
      </c>
      <c r="I208" s="27" t="s">
        <v>98</v>
      </c>
      <c r="J208" s="27">
        <v>0</v>
      </c>
      <c r="K208" s="27">
        <v>0</v>
      </c>
      <c r="L208" s="27" t="s">
        <v>74</v>
      </c>
      <c r="M208" s="27" t="s">
        <v>74</v>
      </c>
      <c r="N208" s="27">
        <v>0</v>
      </c>
      <c r="P208" s="27" t="s">
        <v>97</v>
      </c>
    </row>
    <row r="209" spans="1:40" x14ac:dyDescent="0.2">
      <c r="A209" s="27">
        <v>70</v>
      </c>
      <c r="B209" s="27">
        <v>1</v>
      </c>
      <c r="D209" s="27">
        <v>12</v>
      </c>
      <c r="E209" s="27" t="s">
        <v>96</v>
      </c>
      <c r="F209" s="27" t="s">
        <v>95</v>
      </c>
      <c r="G209" s="27">
        <v>0</v>
      </c>
      <c r="H209" s="27">
        <v>0</v>
      </c>
      <c r="I209" s="27" t="s">
        <v>74</v>
      </c>
      <c r="J209" s="27">
        <v>0</v>
      </c>
      <c r="K209" s="27">
        <v>0</v>
      </c>
      <c r="L209" s="27" t="s">
        <v>74</v>
      </c>
      <c r="M209" s="27" t="s">
        <v>74</v>
      </c>
      <c r="N209" s="27">
        <v>0</v>
      </c>
      <c r="P209" s="27" t="s">
        <v>94</v>
      </c>
    </row>
    <row r="210" spans="1:40" x14ac:dyDescent="0.2">
      <c r="A210" s="27">
        <v>70</v>
      </c>
      <c r="B210" s="27">
        <v>1</v>
      </c>
      <c r="D210" s="27">
        <v>1</v>
      </c>
      <c r="E210" s="27" t="s">
        <v>93</v>
      </c>
      <c r="F210" s="27" t="s">
        <v>92</v>
      </c>
      <c r="G210" s="27">
        <v>0.9</v>
      </c>
      <c r="H210" s="27">
        <v>1</v>
      </c>
      <c r="I210" s="27" t="s">
        <v>91</v>
      </c>
      <c r="J210" s="27">
        <v>0</v>
      </c>
      <c r="K210" s="27">
        <v>0</v>
      </c>
      <c r="L210" s="27" t="s">
        <v>74</v>
      </c>
      <c r="M210" s="27" t="s">
        <v>74</v>
      </c>
      <c r="N210" s="27">
        <v>0</v>
      </c>
      <c r="P210" s="27" t="s">
        <v>90</v>
      </c>
    </row>
    <row r="211" spans="1:40" x14ac:dyDescent="0.2">
      <c r="A211" s="27">
        <v>70</v>
      </c>
      <c r="B211" s="27">
        <v>1</v>
      </c>
      <c r="D211" s="27">
        <v>2</v>
      </c>
      <c r="E211" s="27" t="s">
        <v>89</v>
      </c>
      <c r="F211" s="27" t="s">
        <v>88</v>
      </c>
      <c r="G211" s="27">
        <v>0.85</v>
      </c>
      <c r="H211" s="27">
        <v>1</v>
      </c>
      <c r="I211" s="27" t="s">
        <v>87</v>
      </c>
      <c r="J211" s="27">
        <v>0</v>
      </c>
      <c r="K211" s="27">
        <v>0</v>
      </c>
      <c r="L211" s="27" t="s">
        <v>74</v>
      </c>
      <c r="M211" s="27" t="s">
        <v>74</v>
      </c>
      <c r="N211" s="27">
        <v>0</v>
      </c>
      <c r="P211" s="27" t="s">
        <v>86</v>
      </c>
    </row>
    <row r="212" spans="1:40" x14ac:dyDescent="0.2">
      <c r="A212" s="27">
        <v>70</v>
      </c>
      <c r="B212" s="27">
        <v>1</v>
      </c>
      <c r="D212" s="27">
        <v>3</v>
      </c>
      <c r="E212" s="27" t="s">
        <v>85</v>
      </c>
      <c r="F212" s="27" t="s">
        <v>84</v>
      </c>
      <c r="G212" s="27">
        <v>1.03</v>
      </c>
      <c r="H212" s="27">
        <v>0</v>
      </c>
      <c r="I212" s="27" t="s">
        <v>74</v>
      </c>
      <c r="J212" s="27">
        <v>0</v>
      </c>
      <c r="K212" s="27">
        <v>0</v>
      </c>
      <c r="L212" s="27" t="s">
        <v>74</v>
      </c>
      <c r="M212" s="27" t="s">
        <v>74</v>
      </c>
      <c r="N212" s="27">
        <v>0</v>
      </c>
      <c r="P212" s="27" t="s">
        <v>83</v>
      </c>
    </row>
    <row r="213" spans="1:40" x14ac:dyDescent="0.2">
      <c r="A213" s="27">
        <v>70</v>
      </c>
      <c r="B213" s="27">
        <v>1</v>
      </c>
      <c r="D213" s="27">
        <v>4</v>
      </c>
      <c r="E213" s="27" t="s">
        <v>82</v>
      </c>
      <c r="F213" s="27" t="s">
        <v>81</v>
      </c>
      <c r="G213" s="27">
        <v>1.0900000000000001</v>
      </c>
      <c r="H213" s="27">
        <v>0</v>
      </c>
      <c r="I213" s="27" t="s">
        <v>74</v>
      </c>
      <c r="J213" s="27">
        <v>0</v>
      </c>
      <c r="K213" s="27">
        <v>0</v>
      </c>
      <c r="L213" s="27" t="s">
        <v>74</v>
      </c>
      <c r="M213" s="27" t="s">
        <v>74</v>
      </c>
      <c r="N213" s="27">
        <v>0</v>
      </c>
      <c r="P213" s="27" t="s">
        <v>80</v>
      </c>
    </row>
    <row r="214" spans="1:40" x14ac:dyDescent="0.2">
      <c r="A214" s="27">
        <v>70</v>
      </c>
      <c r="B214" s="27">
        <v>1</v>
      </c>
      <c r="D214" s="27">
        <v>5</v>
      </c>
      <c r="E214" s="27" t="s">
        <v>79</v>
      </c>
      <c r="F214" s="27" t="s">
        <v>78</v>
      </c>
      <c r="G214" s="27">
        <v>7</v>
      </c>
      <c r="H214" s="27">
        <v>0</v>
      </c>
      <c r="I214" s="27" t="s">
        <v>74</v>
      </c>
      <c r="J214" s="27">
        <v>0</v>
      </c>
      <c r="K214" s="27">
        <v>0</v>
      </c>
      <c r="L214" s="27" t="s">
        <v>74</v>
      </c>
      <c r="M214" s="27" t="s">
        <v>74</v>
      </c>
      <c r="N214" s="27">
        <v>0</v>
      </c>
      <c r="P214" s="27" t="s">
        <v>74</v>
      </c>
    </row>
    <row r="215" spans="1:40" x14ac:dyDescent="0.2">
      <c r="A215" s="27">
        <v>70</v>
      </c>
      <c r="B215" s="27">
        <v>1</v>
      </c>
      <c r="D215" s="27">
        <v>6</v>
      </c>
      <c r="E215" s="27" t="s">
        <v>77</v>
      </c>
      <c r="F215" s="27" t="s">
        <v>74</v>
      </c>
      <c r="G215" s="27">
        <v>2</v>
      </c>
      <c r="H215" s="27">
        <v>0</v>
      </c>
      <c r="I215" s="27" t="s">
        <v>74</v>
      </c>
      <c r="J215" s="27">
        <v>0</v>
      </c>
      <c r="K215" s="27">
        <v>0</v>
      </c>
      <c r="L215" s="27" t="s">
        <v>74</v>
      </c>
      <c r="M215" s="27" t="s">
        <v>74</v>
      </c>
      <c r="N215" s="27">
        <v>0</v>
      </c>
      <c r="P215" s="27" t="s">
        <v>74</v>
      </c>
    </row>
    <row r="217" spans="1:40" x14ac:dyDescent="0.2">
      <c r="A217" s="27">
        <v>-1</v>
      </c>
    </row>
    <row r="219" spans="1:40" x14ac:dyDescent="0.2">
      <c r="A219" s="98">
        <v>75</v>
      </c>
      <c r="B219" s="98" t="s">
        <v>76</v>
      </c>
      <c r="C219" s="98">
        <v>2021</v>
      </c>
      <c r="D219" s="98">
        <v>0</v>
      </c>
      <c r="E219" s="98">
        <v>12</v>
      </c>
      <c r="F219" s="98">
        <v>0</v>
      </c>
      <c r="G219" s="98">
        <v>0</v>
      </c>
      <c r="H219" s="98">
        <v>1</v>
      </c>
      <c r="I219" s="98">
        <v>0</v>
      </c>
      <c r="J219" s="98">
        <v>3</v>
      </c>
      <c r="K219" s="98">
        <v>0</v>
      </c>
      <c r="L219" s="98">
        <v>0</v>
      </c>
      <c r="M219" s="98">
        <v>0</v>
      </c>
      <c r="N219" s="98">
        <v>34787475</v>
      </c>
      <c r="O219" s="98">
        <v>1</v>
      </c>
    </row>
    <row r="220" spans="1:40" x14ac:dyDescent="0.2">
      <c r="A220" s="97">
        <v>1</v>
      </c>
      <c r="B220" s="97" t="s">
        <v>75</v>
      </c>
      <c r="C220" s="97" t="s">
        <v>74</v>
      </c>
      <c r="D220" s="97">
        <v>0</v>
      </c>
      <c r="E220" s="97">
        <v>0</v>
      </c>
      <c r="F220" s="97">
        <v>1</v>
      </c>
      <c r="G220" s="97">
        <v>1</v>
      </c>
      <c r="H220" s="97">
        <v>1</v>
      </c>
      <c r="I220" s="97">
        <v>2</v>
      </c>
      <c r="J220" s="97">
        <v>1</v>
      </c>
      <c r="K220" s="97">
        <v>1</v>
      </c>
      <c r="L220" s="97">
        <v>1</v>
      </c>
      <c r="M220" s="97">
        <v>1</v>
      </c>
      <c r="N220" s="97">
        <v>1</v>
      </c>
      <c r="O220" s="97">
        <v>1</v>
      </c>
      <c r="P220" s="97">
        <v>1</v>
      </c>
      <c r="Q220" s="97">
        <v>1</v>
      </c>
      <c r="R220" s="97" t="s">
        <v>74</v>
      </c>
      <c r="S220" s="97" t="s">
        <v>74</v>
      </c>
      <c r="T220" s="97" t="s">
        <v>74</v>
      </c>
      <c r="U220" s="97" t="s">
        <v>74</v>
      </c>
      <c r="V220" s="97" t="s">
        <v>74</v>
      </c>
      <c r="W220" s="97" t="s">
        <v>74</v>
      </c>
      <c r="X220" s="97" t="s">
        <v>74</v>
      </c>
      <c r="Y220" s="97" t="s">
        <v>74</v>
      </c>
      <c r="Z220" s="97" t="s">
        <v>74</v>
      </c>
      <c r="AA220" s="97" t="s">
        <v>74</v>
      </c>
      <c r="AB220" s="97"/>
      <c r="AC220" s="97"/>
      <c r="AD220" s="97"/>
      <c r="AE220" s="97"/>
      <c r="AF220" s="97"/>
      <c r="AG220" s="97"/>
      <c r="AH220" s="97"/>
      <c r="AI220" s="97"/>
      <c r="AJ220" s="97"/>
      <c r="AK220" s="97"/>
      <c r="AL220" s="97"/>
      <c r="AM220" s="97"/>
      <c r="AN220" s="97">
        <v>34787476</v>
      </c>
    </row>
    <row r="224" spans="1:40" x14ac:dyDescent="0.2">
      <c r="A224" s="27">
        <v>65</v>
      </c>
      <c r="C224" s="27">
        <v>1</v>
      </c>
      <c r="D224" s="27">
        <v>0</v>
      </c>
      <c r="E224" s="2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>
      <selection activeCell="C22" sqref="C22:F22"/>
    </sheetView>
  </sheetViews>
  <sheetFormatPr defaultColWidth="9.140625" defaultRowHeight="12.75" x14ac:dyDescent="0.2"/>
  <cols>
    <col min="1" max="256" width="9.140625" style="27" customWidth="1"/>
    <col min="257" max="16384" width="9.140625" style="27"/>
  </cols>
  <sheetData>
    <row r="1" spans="1:133" x14ac:dyDescent="0.2">
      <c r="A1" s="27">
        <v>0</v>
      </c>
      <c r="B1" s="27" t="s">
        <v>247</v>
      </c>
      <c r="D1" s="27" t="s">
        <v>249</v>
      </c>
      <c r="F1" s="27">
        <v>0</v>
      </c>
      <c r="G1" s="27">
        <v>0</v>
      </c>
      <c r="H1" s="27">
        <v>0</v>
      </c>
      <c r="I1" s="27" t="s">
        <v>245</v>
      </c>
      <c r="J1" s="27" t="s">
        <v>244</v>
      </c>
      <c r="K1" s="27">
        <v>1</v>
      </c>
      <c r="L1" s="27">
        <v>43766</v>
      </c>
      <c r="M1" s="27">
        <v>10</v>
      </c>
      <c r="N1" s="27">
        <v>11</v>
      </c>
      <c r="O1" s="27">
        <v>3</v>
      </c>
      <c r="P1" s="27">
        <v>2</v>
      </c>
      <c r="Q1" s="27">
        <v>5</v>
      </c>
    </row>
    <row r="12" spans="1:133" x14ac:dyDescent="0.2">
      <c r="A12" s="101">
        <v>1</v>
      </c>
      <c r="B12" s="101">
        <v>51</v>
      </c>
      <c r="C12" s="101">
        <v>0</v>
      </c>
      <c r="D12" s="101"/>
      <c r="E12" s="101">
        <v>0</v>
      </c>
      <c r="F12" s="101" t="s">
        <v>243</v>
      </c>
      <c r="G12" s="101" t="s">
        <v>248</v>
      </c>
      <c r="H12" s="101" t="s">
        <v>74</v>
      </c>
      <c r="I12" s="101">
        <v>0</v>
      </c>
      <c r="J12" s="101" t="s">
        <v>74</v>
      </c>
      <c r="K12" s="101">
        <v>0</v>
      </c>
      <c r="L12" s="101">
        <v>0</v>
      </c>
      <c r="M12" s="101">
        <v>11</v>
      </c>
      <c r="N12" s="101"/>
      <c r="O12" s="101">
        <v>0</v>
      </c>
      <c r="P12" s="101">
        <v>0</v>
      </c>
      <c r="Q12" s="101">
        <v>0</v>
      </c>
      <c r="R12" s="101">
        <v>0</v>
      </c>
      <c r="S12" s="101"/>
      <c r="T12" s="101">
        <v>4</v>
      </c>
      <c r="U12" s="101" t="s">
        <v>74</v>
      </c>
      <c r="V12" s="101">
        <v>0</v>
      </c>
      <c r="W12" s="101" t="s">
        <v>74</v>
      </c>
      <c r="X12" s="101" t="s">
        <v>74</v>
      </c>
      <c r="Y12" s="101" t="s">
        <v>74</v>
      </c>
      <c r="Z12" s="101" t="s">
        <v>74</v>
      </c>
      <c r="AA12" s="101" t="s">
        <v>74</v>
      </c>
      <c r="AB12" s="101" t="s">
        <v>74</v>
      </c>
      <c r="AC12" s="101" t="s">
        <v>74</v>
      </c>
      <c r="AD12" s="101" t="s">
        <v>74</v>
      </c>
      <c r="AE12" s="101" t="s">
        <v>74</v>
      </c>
      <c r="AF12" s="101" t="s">
        <v>74</v>
      </c>
      <c r="AG12" s="101" t="s">
        <v>74</v>
      </c>
      <c r="AH12" s="101" t="s">
        <v>74</v>
      </c>
      <c r="AI12" s="101" t="s">
        <v>74</v>
      </c>
      <c r="AJ12" s="101" t="s">
        <v>74</v>
      </c>
      <c r="AK12" s="101"/>
      <c r="AL12" s="101" t="s">
        <v>74</v>
      </c>
      <c r="AM12" s="101" t="s">
        <v>74</v>
      </c>
      <c r="AN12" s="101" t="s">
        <v>74</v>
      </c>
      <c r="AO12" s="101"/>
      <c r="AP12" s="101" t="s">
        <v>74</v>
      </c>
      <c r="AQ12" s="101" t="s">
        <v>74</v>
      </c>
      <c r="AR12" s="101" t="s">
        <v>74</v>
      </c>
      <c r="AS12" s="101"/>
      <c r="AT12" s="101"/>
      <c r="AU12" s="101"/>
      <c r="AV12" s="101"/>
      <c r="AW12" s="101"/>
      <c r="AX12" s="101" t="s">
        <v>74</v>
      </c>
      <c r="AY12" s="101" t="s">
        <v>74</v>
      </c>
      <c r="AZ12" s="101" t="s">
        <v>74</v>
      </c>
      <c r="BA12" s="101"/>
      <c r="BB12" s="101">
        <v>0</v>
      </c>
      <c r="BC12" s="101"/>
      <c r="BD12" s="101"/>
      <c r="BE12" s="101"/>
      <c r="BF12" s="101"/>
      <c r="BG12" s="101"/>
      <c r="BH12" s="101" t="s">
        <v>241</v>
      </c>
      <c r="BI12" s="101" t="s">
        <v>240</v>
      </c>
      <c r="BJ12" s="101">
        <v>1</v>
      </c>
      <c r="BK12" s="101">
        <v>1</v>
      </c>
      <c r="BL12" s="101">
        <v>0</v>
      </c>
      <c r="BM12" s="101">
        <v>0</v>
      </c>
      <c r="BN12" s="101">
        <v>1</v>
      </c>
      <c r="BO12" s="101">
        <v>0</v>
      </c>
      <c r="BP12" s="101">
        <v>6</v>
      </c>
      <c r="BQ12" s="101">
        <v>0</v>
      </c>
      <c r="BR12" s="101">
        <v>1</v>
      </c>
      <c r="BS12" s="101">
        <v>1</v>
      </c>
      <c r="BT12" s="101">
        <v>0</v>
      </c>
      <c r="BU12" s="101">
        <v>0</v>
      </c>
      <c r="BV12" s="101">
        <v>0</v>
      </c>
      <c r="BW12" s="101">
        <v>0</v>
      </c>
      <c r="BX12" s="101">
        <v>0</v>
      </c>
      <c r="BY12" s="101" t="s">
        <v>239</v>
      </c>
      <c r="BZ12" s="101" t="s">
        <v>238</v>
      </c>
      <c r="CA12" s="101" t="s">
        <v>237</v>
      </c>
      <c r="CB12" s="101" t="s">
        <v>237</v>
      </c>
      <c r="CC12" s="101" t="s">
        <v>237</v>
      </c>
      <c r="CD12" s="101" t="s">
        <v>237</v>
      </c>
      <c r="CE12" s="101" t="s">
        <v>236</v>
      </c>
      <c r="CF12" s="101">
        <v>0</v>
      </c>
      <c r="CG12" s="101">
        <v>0</v>
      </c>
      <c r="CH12" s="101">
        <v>403374088</v>
      </c>
      <c r="CI12" s="101" t="s">
        <v>74</v>
      </c>
      <c r="CJ12" s="101" t="s">
        <v>74</v>
      </c>
      <c r="CK12" s="101">
        <v>7</v>
      </c>
      <c r="CL12" s="101" t="s">
        <v>235</v>
      </c>
      <c r="CM12" s="101" t="s">
        <v>234</v>
      </c>
      <c r="CN12" s="101">
        <v>44375</v>
      </c>
      <c r="CO12" s="101">
        <v>382</v>
      </c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>
        <v>0</v>
      </c>
    </row>
    <row r="14" spans="1:133" x14ac:dyDescent="0.2">
      <c r="A14" s="101">
        <v>22</v>
      </c>
      <c r="B14" s="101">
        <v>0</v>
      </c>
      <c r="C14" s="101">
        <v>0</v>
      </c>
      <c r="D14" s="101">
        <v>34787475</v>
      </c>
      <c r="E14" s="101">
        <v>0</v>
      </c>
      <c r="F14" s="101">
        <v>3</v>
      </c>
      <c r="G14" s="101"/>
      <c r="H14" s="101"/>
      <c r="I14" s="101"/>
      <c r="J14" s="101"/>
      <c r="K14" s="101"/>
      <c r="L14" s="101"/>
      <c r="M14" s="101"/>
      <c r="N14" s="101"/>
      <c r="O14" s="101"/>
    </row>
    <row r="16" spans="1:133" x14ac:dyDescent="0.2">
      <c r="A16" s="104">
        <v>3</v>
      </c>
      <c r="B16" s="104">
        <v>1</v>
      </c>
      <c r="C16" s="104" t="s">
        <v>233</v>
      </c>
      <c r="D16" s="104" t="s">
        <v>233</v>
      </c>
      <c r="E16" s="103">
        <f>(Source!F154)/1000</f>
        <v>0</v>
      </c>
      <c r="F16" s="103">
        <f>(Source!F155)/1000</f>
        <v>13.356999999999999</v>
      </c>
      <c r="G16" s="103">
        <f>(Source!F146)/1000</f>
        <v>213.80500000000001</v>
      </c>
      <c r="H16" s="103">
        <f>(Source!F156)/1000+(Source!F157)/1000</f>
        <v>188.39099999999999</v>
      </c>
      <c r="I16" s="103">
        <f>E16+F16+G16+H16</f>
        <v>415.553</v>
      </c>
      <c r="J16" s="103">
        <f>(Source!F152)/1000</f>
        <v>93.885000000000005</v>
      </c>
      <c r="AI16" s="104">
        <v>0</v>
      </c>
      <c r="AJ16" s="104">
        <v>0</v>
      </c>
      <c r="AK16" s="104" t="s">
        <v>74</v>
      </c>
      <c r="AL16" s="104" t="s">
        <v>74</v>
      </c>
      <c r="AM16" s="104" t="s">
        <v>74</v>
      </c>
      <c r="AN16" s="104">
        <v>0</v>
      </c>
      <c r="AO16" s="104" t="s">
        <v>74</v>
      </c>
      <c r="AP16" s="104" t="s">
        <v>74</v>
      </c>
      <c r="AT16" s="103">
        <v>96624</v>
      </c>
      <c r="AU16" s="103">
        <v>215893</v>
      </c>
      <c r="AV16" s="103">
        <v>0</v>
      </c>
      <c r="AW16" s="103">
        <v>213805</v>
      </c>
      <c r="AX16" s="103">
        <v>0</v>
      </c>
      <c r="AY16" s="103">
        <v>651</v>
      </c>
      <c r="AZ16" s="103">
        <v>211</v>
      </c>
      <c r="BA16" s="103">
        <v>93885</v>
      </c>
      <c r="BB16" s="103">
        <v>0</v>
      </c>
      <c r="BC16" s="103">
        <v>13357</v>
      </c>
      <c r="BD16" s="103">
        <v>188391</v>
      </c>
      <c r="BE16" s="103">
        <v>0</v>
      </c>
      <c r="BF16" s="103">
        <v>256.52350000000001</v>
      </c>
      <c r="BG16" s="103">
        <v>0.77059999999999995</v>
      </c>
      <c r="BH16" s="103">
        <v>0</v>
      </c>
      <c r="BI16" s="103">
        <v>70534</v>
      </c>
      <c r="BJ16" s="103">
        <v>34590</v>
      </c>
      <c r="BK16" s="103">
        <v>415553</v>
      </c>
    </row>
    <row r="18" spans="1:19" x14ac:dyDescent="0.2">
      <c r="A18" s="27">
        <v>51</v>
      </c>
      <c r="E18" s="102">
        <f>SUMIF(A16:A17,3,E16:E17)</f>
        <v>0</v>
      </c>
      <c r="F18" s="102">
        <f>SUMIF(A16:A17,3,F16:F17)</f>
        <v>13.356999999999999</v>
      </c>
      <c r="G18" s="102">
        <f>SUMIF(A16:A17,3,G16:G17)</f>
        <v>213.80500000000001</v>
      </c>
      <c r="H18" s="102">
        <f>SUMIF(A16:A17,3,H16:H17)</f>
        <v>188.39099999999999</v>
      </c>
      <c r="I18" s="102">
        <f>SUMIF(A16:A17,3,I16:I17)</f>
        <v>415.553</v>
      </c>
      <c r="J18" s="102">
        <f>SUMIF(A16:A17,3,J16:J17)</f>
        <v>93.885000000000005</v>
      </c>
      <c r="K18" s="102"/>
      <c r="L18" s="102"/>
      <c r="M18" s="102"/>
      <c r="N18" s="102"/>
      <c r="O18" s="102"/>
      <c r="P18" s="102"/>
      <c r="Q18" s="102"/>
      <c r="R18" s="102"/>
      <c r="S18" s="102"/>
    </row>
    <row r="20" spans="1:19" x14ac:dyDescent="0.2">
      <c r="A20" s="99">
        <v>50</v>
      </c>
      <c r="B20" s="99">
        <v>0</v>
      </c>
      <c r="C20" s="99">
        <v>0</v>
      </c>
      <c r="D20" s="99">
        <v>1</v>
      </c>
      <c r="E20" s="99">
        <v>201</v>
      </c>
      <c r="F20" s="99">
        <v>96624</v>
      </c>
      <c r="G20" s="99" t="s">
        <v>181</v>
      </c>
      <c r="H20" s="99" t="s">
        <v>13</v>
      </c>
      <c r="I20" s="99"/>
      <c r="J20" s="99"/>
      <c r="K20" s="99">
        <v>201</v>
      </c>
      <c r="L20" s="99">
        <v>1</v>
      </c>
      <c r="M20" s="99">
        <v>3</v>
      </c>
      <c r="N20" s="99" t="s">
        <v>74</v>
      </c>
      <c r="O20" s="99">
        <v>0</v>
      </c>
      <c r="P20" s="99"/>
    </row>
    <row r="21" spans="1:19" x14ac:dyDescent="0.2">
      <c r="A21" s="99">
        <v>50</v>
      </c>
      <c r="B21" s="99">
        <v>0</v>
      </c>
      <c r="C21" s="99">
        <v>0</v>
      </c>
      <c r="D21" s="99">
        <v>1</v>
      </c>
      <c r="E21" s="99">
        <v>202</v>
      </c>
      <c r="F21" s="99">
        <v>215893</v>
      </c>
      <c r="G21" s="99" t="s">
        <v>180</v>
      </c>
      <c r="H21" s="99" t="s">
        <v>179</v>
      </c>
      <c r="I21" s="99"/>
      <c r="J21" s="99"/>
      <c r="K21" s="99">
        <v>202</v>
      </c>
      <c r="L21" s="99">
        <v>2</v>
      </c>
      <c r="M21" s="99">
        <v>3</v>
      </c>
      <c r="N21" s="99" t="s">
        <v>74</v>
      </c>
      <c r="O21" s="99">
        <v>0</v>
      </c>
      <c r="P21" s="99"/>
    </row>
    <row r="22" spans="1:19" x14ac:dyDescent="0.2">
      <c r="A22" s="99">
        <v>50</v>
      </c>
      <c r="B22" s="99">
        <v>0</v>
      </c>
      <c r="C22" s="99">
        <v>0</v>
      </c>
      <c r="D22" s="99">
        <v>1</v>
      </c>
      <c r="E22" s="99">
        <v>222</v>
      </c>
      <c r="F22" s="99">
        <v>0</v>
      </c>
      <c r="G22" s="99" t="s">
        <v>178</v>
      </c>
      <c r="H22" s="99" t="s">
        <v>177</v>
      </c>
      <c r="I22" s="99"/>
      <c r="J22" s="99"/>
      <c r="K22" s="99">
        <v>222</v>
      </c>
      <c r="L22" s="99">
        <v>3</v>
      </c>
      <c r="M22" s="99">
        <v>3</v>
      </c>
      <c r="N22" s="99" t="s">
        <v>74</v>
      </c>
      <c r="O22" s="99">
        <v>0</v>
      </c>
      <c r="P22" s="99"/>
    </row>
    <row r="23" spans="1:19" x14ac:dyDescent="0.2">
      <c r="A23" s="99">
        <v>50</v>
      </c>
      <c r="B23" s="99">
        <v>0</v>
      </c>
      <c r="C23" s="99">
        <v>0</v>
      </c>
      <c r="D23" s="99">
        <v>1</v>
      </c>
      <c r="E23" s="99">
        <v>225</v>
      </c>
      <c r="F23" s="99">
        <v>215893</v>
      </c>
      <c r="G23" s="99" t="s">
        <v>176</v>
      </c>
      <c r="H23" s="99" t="s">
        <v>175</v>
      </c>
      <c r="I23" s="99"/>
      <c r="J23" s="99"/>
      <c r="K23" s="99">
        <v>225</v>
      </c>
      <c r="L23" s="99">
        <v>4</v>
      </c>
      <c r="M23" s="99">
        <v>3</v>
      </c>
      <c r="N23" s="99" t="s">
        <v>74</v>
      </c>
      <c r="O23" s="99">
        <v>0</v>
      </c>
      <c r="P23" s="99"/>
    </row>
    <row r="24" spans="1:19" x14ac:dyDescent="0.2">
      <c r="A24" s="99">
        <v>50</v>
      </c>
      <c r="B24" s="99">
        <v>0</v>
      </c>
      <c r="C24" s="99">
        <v>0</v>
      </c>
      <c r="D24" s="99">
        <v>1</v>
      </c>
      <c r="E24" s="99">
        <v>226</v>
      </c>
      <c r="F24" s="99">
        <v>2088</v>
      </c>
      <c r="G24" s="99" t="s">
        <v>174</v>
      </c>
      <c r="H24" s="99" t="s">
        <v>173</v>
      </c>
      <c r="I24" s="99"/>
      <c r="J24" s="99"/>
      <c r="K24" s="99">
        <v>226</v>
      </c>
      <c r="L24" s="99">
        <v>5</v>
      </c>
      <c r="M24" s="99">
        <v>3</v>
      </c>
      <c r="N24" s="99" t="s">
        <v>74</v>
      </c>
      <c r="O24" s="99">
        <v>0</v>
      </c>
      <c r="P24" s="99"/>
    </row>
    <row r="25" spans="1:19" x14ac:dyDescent="0.2">
      <c r="A25" s="99">
        <v>50</v>
      </c>
      <c r="B25" s="99">
        <v>0</v>
      </c>
      <c r="C25" s="99">
        <v>0</v>
      </c>
      <c r="D25" s="99">
        <v>1</v>
      </c>
      <c r="E25" s="99">
        <v>227</v>
      </c>
      <c r="F25" s="99">
        <v>0</v>
      </c>
      <c r="G25" s="99" t="s">
        <v>172</v>
      </c>
      <c r="H25" s="99" t="s">
        <v>171</v>
      </c>
      <c r="I25" s="99"/>
      <c r="J25" s="99"/>
      <c r="K25" s="99">
        <v>227</v>
      </c>
      <c r="L25" s="99">
        <v>6</v>
      </c>
      <c r="M25" s="99">
        <v>3</v>
      </c>
      <c r="N25" s="99" t="s">
        <v>74</v>
      </c>
      <c r="O25" s="99">
        <v>0</v>
      </c>
      <c r="P25" s="99"/>
    </row>
    <row r="26" spans="1:19" x14ac:dyDescent="0.2">
      <c r="A26" s="99">
        <v>50</v>
      </c>
      <c r="B26" s="99">
        <v>0</v>
      </c>
      <c r="C26" s="99">
        <v>0</v>
      </c>
      <c r="D26" s="99">
        <v>1</v>
      </c>
      <c r="E26" s="99">
        <v>228</v>
      </c>
      <c r="F26" s="99">
        <v>2088</v>
      </c>
      <c r="G26" s="99" t="s">
        <v>170</v>
      </c>
      <c r="H26" s="99" t="s">
        <v>169</v>
      </c>
      <c r="I26" s="99"/>
      <c r="J26" s="99"/>
      <c r="K26" s="99">
        <v>228</v>
      </c>
      <c r="L26" s="99">
        <v>7</v>
      </c>
      <c r="M26" s="99">
        <v>3</v>
      </c>
      <c r="N26" s="99" t="s">
        <v>74</v>
      </c>
      <c r="O26" s="99">
        <v>0</v>
      </c>
      <c r="P26" s="99"/>
    </row>
    <row r="27" spans="1:19" x14ac:dyDescent="0.2">
      <c r="A27" s="99">
        <v>50</v>
      </c>
      <c r="B27" s="99">
        <v>0</v>
      </c>
      <c r="C27" s="99">
        <v>0</v>
      </c>
      <c r="D27" s="99">
        <v>1</v>
      </c>
      <c r="E27" s="99">
        <v>216</v>
      </c>
      <c r="F27" s="99">
        <v>213805</v>
      </c>
      <c r="G27" s="99" t="s">
        <v>168</v>
      </c>
      <c r="H27" s="99" t="s">
        <v>167</v>
      </c>
      <c r="I27" s="99"/>
      <c r="J27" s="99"/>
      <c r="K27" s="99">
        <v>216</v>
      </c>
      <c r="L27" s="99">
        <v>8</v>
      </c>
      <c r="M27" s="99">
        <v>3</v>
      </c>
      <c r="N27" s="99" t="s">
        <v>74</v>
      </c>
      <c r="O27" s="99">
        <v>0</v>
      </c>
      <c r="P27" s="99"/>
    </row>
    <row r="28" spans="1:19" x14ac:dyDescent="0.2">
      <c r="A28" s="99">
        <v>50</v>
      </c>
      <c r="B28" s="99">
        <v>0</v>
      </c>
      <c r="C28" s="99">
        <v>0</v>
      </c>
      <c r="D28" s="99">
        <v>1</v>
      </c>
      <c r="E28" s="99">
        <v>223</v>
      </c>
      <c r="F28" s="99">
        <v>0</v>
      </c>
      <c r="G28" s="99" t="s">
        <v>166</v>
      </c>
      <c r="H28" s="99" t="s">
        <v>165</v>
      </c>
      <c r="I28" s="99"/>
      <c r="J28" s="99"/>
      <c r="K28" s="99">
        <v>223</v>
      </c>
      <c r="L28" s="99">
        <v>9</v>
      </c>
      <c r="M28" s="99">
        <v>3</v>
      </c>
      <c r="N28" s="99" t="s">
        <v>74</v>
      </c>
      <c r="O28" s="99">
        <v>0</v>
      </c>
      <c r="P28" s="99"/>
    </row>
    <row r="29" spans="1:19" x14ac:dyDescent="0.2">
      <c r="A29" s="99">
        <v>50</v>
      </c>
      <c r="B29" s="99">
        <v>0</v>
      </c>
      <c r="C29" s="99">
        <v>0</v>
      </c>
      <c r="D29" s="99">
        <v>1</v>
      </c>
      <c r="E29" s="99">
        <v>229</v>
      </c>
      <c r="F29" s="99">
        <v>213805</v>
      </c>
      <c r="G29" s="99" t="s">
        <v>164</v>
      </c>
      <c r="H29" s="99" t="s">
        <v>163</v>
      </c>
      <c r="I29" s="99"/>
      <c r="J29" s="99"/>
      <c r="K29" s="99">
        <v>229</v>
      </c>
      <c r="L29" s="99">
        <v>10</v>
      </c>
      <c r="M29" s="99">
        <v>3</v>
      </c>
      <c r="N29" s="99" t="s">
        <v>74</v>
      </c>
      <c r="O29" s="99">
        <v>0</v>
      </c>
      <c r="P29" s="99"/>
    </row>
    <row r="30" spans="1:19" x14ac:dyDescent="0.2">
      <c r="A30" s="99">
        <v>50</v>
      </c>
      <c r="B30" s="99">
        <v>0</v>
      </c>
      <c r="C30" s="99">
        <v>0</v>
      </c>
      <c r="D30" s="99">
        <v>1</v>
      </c>
      <c r="E30" s="99">
        <v>203</v>
      </c>
      <c r="F30" s="99">
        <v>651</v>
      </c>
      <c r="G30" s="99" t="s">
        <v>162</v>
      </c>
      <c r="H30" s="99" t="s">
        <v>44</v>
      </c>
      <c r="I30" s="99"/>
      <c r="J30" s="99"/>
      <c r="K30" s="99">
        <v>203</v>
      </c>
      <c r="L30" s="99">
        <v>11</v>
      </c>
      <c r="M30" s="99">
        <v>3</v>
      </c>
      <c r="N30" s="99" t="s">
        <v>74</v>
      </c>
      <c r="O30" s="99">
        <v>0</v>
      </c>
      <c r="P30" s="99"/>
    </row>
    <row r="31" spans="1:19" x14ac:dyDescent="0.2">
      <c r="A31" s="99">
        <v>50</v>
      </c>
      <c r="B31" s="99">
        <v>0</v>
      </c>
      <c r="C31" s="99">
        <v>0</v>
      </c>
      <c r="D31" s="99">
        <v>1</v>
      </c>
      <c r="E31" s="99">
        <v>231</v>
      </c>
      <c r="F31" s="99">
        <v>0</v>
      </c>
      <c r="G31" s="99" t="s">
        <v>161</v>
      </c>
      <c r="H31" s="99" t="s">
        <v>160</v>
      </c>
      <c r="I31" s="99"/>
      <c r="J31" s="99"/>
      <c r="K31" s="99">
        <v>231</v>
      </c>
      <c r="L31" s="99">
        <v>12</v>
      </c>
      <c r="M31" s="99">
        <v>3</v>
      </c>
      <c r="N31" s="99" t="s">
        <v>74</v>
      </c>
      <c r="O31" s="99">
        <v>0</v>
      </c>
      <c r="P31" s="99"/>
    </row>
    <row r="32" spans="1:19" x14ac:dyDescent="0.2">
      <c r="A32" s="99">
        <v>50</v>
      </c>
      <c r="B32" s="99">
        <v>0</v>
      </c>
      <c r="C32" s="99">
        <v>0</v>
      </c>
      <c r="D32" s="99">
        <v>1</v>
      </c>
      <c r="E32" s="99">
        <v>204</v>
      </c>
      <c r="F32" s="99">
        <v>211</v>
      </c>
      <c r="G32" s="99" t="s">
        <v>159</v>
      </c>
      <c r="H32" s="99" t="s">
        <v>158</v>
      </c>
      <c r="I32" s="99"/>
      <c r="J32" s="99"/>
      <c r="K32" s="99">
        <v>204</v>
      </c>
      <c r="L32" s="99">
        <v>13</v>
      </c>
      <c r="M32" s="99">
        <v>3</v>
      </c>
      <c r="N32" s="99" t="s">
        <v>74</v>
      </c>
      <c r="O32" s="99">
        <v>0</v>
      </c>
      <c r="P32" s="99"/>
    </row>
    <row r="33" spans="1:16" x14ac:dyDescent="0.2">
      <c r="A33" s="99">
        <v>50</v>
      </c>
      <c r="B33" s="99">
        <v>0</v>
      </c>
      <c r="C33" s="99">
        <v>0</v>
      </c>
      <c r="D33" s="99">
        <v>1</v>
      </c>
      <c r="E33" s="99">
        <v>205</v>
      </c>
      <c r="F33" s="99">
        <v>93885</v>
      </c>
      <c r="G33" s="99" t="s">
        <v>157</v>
      </c>
      <c r="H33" s="99" t="s">
        <v>156</v>
      </c>
      <c r="I33" s="99"/>
      <c r="J33" s="99"/>
      <c r="K33" s="99">
        <v>205</v>
      </c>
      <c r="L33" s="99">
        <v>14</v>
      </c>
      <c r="M33" s="99">
        <v>3</v>
      </c>
      <c r="N33" s="99" t="s">
        <v>74</v>
      </c>
      <c r="O33" s="99">
        <v>0</v>
      </c>
      <c r="P33" s="99"/>
    </row>
    <row r="34" spans="1:16" x14ac:dyDescent="0.2">
      <c r="A34" s="99">
        <v>50</v>
      </c>
      <c r="B34" s="99">
        <v>0</v>
      </c>
      <c r="C34" s="99">
        <v>0</v>
      </c>
      <c r="D34" s="99">
        <v>1</v>
      </c>
      <c r="E34" s="99">
        <v>232</v>
      </c>
      <c r="F34" s="99">
        <v>0</v>
      </c>
      <c r="G34" s="99" t="s">
        <v>155</v>
      </c>
      <c r="H34" s="99" t="s">
        <v>154</v>
      </c>
      <c r="I34" s="99"/>
      <c r="J34" s="99"/>
      <c r="K34" s="99">
        <v>232</v>
      </c>
      <c r="L34" s="99">
        <v>15</v>
      </c>
      <c r="M34" s="99">
        <v>3</v>
      </c>
      <c r="N34" s="99" t="s">
        <v>74</v>
      </c>
      <c r="O34" s="99">
        <v>0</v>
      </c>
      <c r="P34" s="99"/>
    </row>
    <row r="35" spans="1:16" x14ac:dyDescent="0.2">
      <c r="A35" s="99">
        <v>50</v>
      </c>
      <c r="B35" s="99">
        <v>0</v>
      </c>
      <c r="C35" s="99">
        <v>0</v>
      </c>
      <c r="D35" s="99">
        <v>1</v>
      </c>
      <c r="E35" s="99">
        <v>214</v>
      </c>
      <c r="F35" s="99">
        <v>0</v>
      </c>
      <c r="G35" s="99" t="s">
        <v>153</v>
      </c>
      <c r="H35" s="99" t="s">
        <v>152</v>
      </c>
      <c r="I35" s="99"/>
      <c r="J35" s="99"/>
      <c r="K35" s="99">
        <v>214</v>
      </c>
      <c r="L35" s="99">
        <v>16</v>
      </c>
      <c r="M35" s="99">
        <v>3</v>
      </c>
      <c r="N35" s="99" t="s">
        <v>74</v>
      </c>
      <c r="O35" s="99">
        <v>0</v>
      </c>
      <c r="P35" s="99"/>
    </row>
    <row r="36" spans="1:16" x14ac:dyDescent="0.2">
      <c r="A36" s="99">
        <v>50</v>
      </c>
      <c r="B36" s="99">
        <v>0</v>
      </c>
      <c r="C36" s="99">
        <v>0</v>
      </c>
      <c r="D36" s="99">
        <v>1</v>
      </c>
      <c r="E36" s="99">
        <v>215</v>
      </c>
      <c r="F36" s="99">
        <v>13357</v>
      </c>
      <c r="G36" s="99" t="s">
        <v>151</v>
      </c>
      <c r="H36" s="99" t="s">
        <v>150</v>
      </c>
      <c r="I36" s="99"/>
      <c r="J36" s="99"/>
      <c r="K36" s="99">
        <v>215</v>
      </c>
      <c r="L36" s="99">
        <v>17</v>
      </c>
      <c r="M36" s="99">
        <v>3</v>
      </c>
      <c r="N36" s="99" t="s">
        <v>74</v>
      </c>
      <c r="O36" s="99">
        <v>0</v>
      </c>
      <c r="P36" s="99"/>
    </row>
    <row r="37" spans="1:16" x14ac:dyDescent="0.2">
      <c r="A37" s="99">
        <v>50</v>
      </c>
      <c r="B37" s="99">
        <v>0</v>
      </c>
      <c r="C37" s="99">
        <v>0</v>
      </c>
      <c r="D37" s="99">
        <v>1</v>
      </c>
      <c r="E37" s="99">
        <v>217</v>
      </c>
      <c r="F37" s="99">
        <v>188391</v>
      </c>
      <c r="G37" s="99" t="s">
        <v>149</v>
      </c>
      <c r="H37" s="99" t="s">
        <v>148</v>
      </c>
      <c r="I37" s="99"/>
      <c r="J37" s="99"/>
      <c r="K37" s="99">
        <v>217</v>
      </c>
      <c r="L37" s="99">
        <v>18</v>
      </c>
      <c r="M37" s="99">
        <v>3</v>
      </c>
      <c r="N37" s="99" t="s">
        <v>74</v>
      </c>
      <c r="O37" s="99">
        <v>0</v>
      </c>
      <c r="P37" s="99"/>
    </row>
    <row r="38" spans="1:16" x14ac:dyDescent="0.2">
      <c r="A38" s="99">
        <v>50</v>
      </c>
      <c r="B38" s="99">
        <v>0</v>
      </c>
      <c r="C38" s="99">
        <v>0</v>
      </c>
      <c r="D38" s="99">
        <v>1</v>
      </c>
      <c r="E38" s="99">
        <v>230</v>
      </c>
      <c r="F38" s="99">
        <v>0</v>
      </c>
      <c r="G38" s="99" t="s">
        <v>147</v>
      </c>
      <c r="H38" s="99" t="s">
        <v>146</v>
      </c>
      <c r="I38" s="99"/>
      <c r="J38" s="99"/>
      <c r="K38" s="99">
        <v>230</v>
      </c>
      <c r="L38" s="99">
        <v>19</v>
      </c>
      <c r="M38" s="99">
        <v>3</v>
      </c>
      <c r="N38" s="99" t="s">
        <v>74</v>
      </c>
      <c r="O38" s="99">
        <v>0</v>
      </c>
      <c r="P38" s="99"/>
    </row>
    <row r="39" spans="1:16" x14ac:dyDescent="0.2">
      <c r="A39" s="99">
        <v>50</v>
      </c>
      <c r="B39" s="99">
        <v>0</v>
      </c>
      <c r="C39" s="99">
        <v>0</v>
      </c>
      <c r="D39" s="99">
        <v>1</v>
      </c>
      <c r="E39" s="99">
        <v>206</v>
      </c>
      <c r="F39" s="99">
        <v>0</v>
      </c>
      <c r="G39" s="99" t="s">
        <v>145</v>
      </c>
      <c r="H39" s="99" t="s">
        <v>60</v>
      </c>
      <c r="I39" s="99"/>
      <c r="J39" s="99"/>
      <c r="K39" s="99">
        <v>206</v>
      </c>
      <c r="L39" s="99">
        <v>20</v>
      </c>
      <c r="M39" s="99">
        <v>3</v>
      </c>
      <c r="N39" s="99" t="s">
        <v>74</v>
      </c>
      <c r="O39" s="99">
        <v>0</v>
      </c>
      <c r="P39" s="99"/>
    </row>
    <row r="40" spans="1:16" x14ac:dyDescent="0.2">
      <c r="A40" s="99">
        <v>50</v>
      </c>
      <c r="B40" s="99">
        <v>0</v>
      </c>
      <c r="C40" s="99">
        <v>0</v>
      </c>
      <c r="D40" s="99">
        <v>1</v>
      </c>
      <c r="E40" s="99">
        <v>207</v>
      </c>
      <c r="F40" s="99">
        <v>256.52350000000001</v>
      </c>
      <c r="G40" s="99" t="s">
        <v>144</v>
      </c>
      <c r="H40" s="99" t="s">
        <v>143</v>
      </c>
      <c r="I40" s="99"/>
      <c r="J40" s="99"/>
      <c r="K40" s="99">
        <v>207</v>
      </c>
      <c r="L40" s="99">
        <v>21</v>
      </c>
      <c r="M40" s="99">
        <v>3</v>
      </c>
      <c r="N40" s="99" t="s">
        <v>74</v>
      </c>
      <c r="O40" s="99">
        <v>-1</v>
      </c>
      <c r="P40" s="99"/>
    </row>
    <row r="41" spans="1:16" x14ac:dyDescent="0.2">
      <c r="A41" s="99">
        <v>50</v>
      </c>
      <c r="B41" s="99">
        <v>0</v>
      </c>
      <c r="C41" s="99">
        <v>0</v>
      </c>
      <c r="D41" s="99">
        <v>1</v>
      </c>
      <c r="E41" s="99">
        <v>208</v>
      </c>
      <c r="F41" s="99">
        <v>0.77059999999999995</v>
      </c>
      <c r="G41" s="99" t="s">
        <v>142</v>
      </c>
      <c r="H41" s="99" t="s">
        <v>141</v>
      </c>
      <c r="I41" s="99"/>
      <c r="J41" s="99"/>
      <c r="K41" s="99">
        <v>208</v>
      </c>
      <c r="L41" s="99">
        <v>22</v>
      </c>
      <c r="M41" s="99">
        <v>3</v>
      </c>
      <c r="N41" s="99" t="s">
        <v>74</v>
      </c>
      <c r="O41" s="99">
        <v>-1</v>
      </c>
      <c r="P41" s="99"/>
    </row>
    <row r="42" spans="1:16" x14ac:dyDescent="0.2">
      <c r="A42" s="99">
        <v>50</v>
      </c>
      <c r="B42" s="99">
        <v>0</v>
      </c>
      <c r="C42" s="99">
        <v>0</v>
      </c>
      <c r="D42" s="99">
        <v>1</v>
      </c>
      <c r="E42" s="99">
        <v>209</v>
      </c>
      <c r="F42" s="99">
        <v>0</v>
      </c>
      <c r="G42" s="99" t="s">
        <v>140</v>
      </c>
      <c r="H42" s="99" t="s">
        <v>139</v>
      </c>
      <c r="I42" s="99"/>
      <c r="J42" s="99"/>
      <c r="K42" s="99">
        <v>209</v>
      </c>
      <c r="L42" s="99">
        <v>23</v>
      </c>
      <c r="M42" s="99">
        <v>3</v>
      </c>
      <c r="N42" s="99" t="s">
        <v>74</v>
      </c>
      <c r="O42" s="99">
        <v>0</v>
      </c>
      <c r="P42" s="99"/>
    </row>
    <row r="43" spans="1:16" x14ac:dyDescent="0.2">
      <c r="A43" s="99">
        <v>50</v>
      </c>
      <c r="B43" s="99">
        <v>0</v>
      </c>
      <c r="C43" s="99">
        <v>0</v>
      </c>
      <c r="D43" s="99">
        <v>1</v>
      </c>
      <c r="E43" s="99">
        <v>233</v>
      </c>
      <c r="F43" s="99">
        <v>0</v>
      </c>
      <c r="G43" s="99" t="s">
        <v>138</v>
      </c>
      <c r="H43" s="99" t="s">
        <v>137</v>
      </c>
      <c r="I43" s="99"/>
      <c r="J43" s="99"/>
      <c r="K43" s="99">
        <v>233</v>
      </c>
      <c r="L43" s="99">
        <v>24</v>
      </c>
      <c r="M43" s="99">
        <v>3</v>
      </c>
      <c r="N43" s="99" t="s">
        <v>74</v>
      </c>
      <c r="O43" s="99">
        <v>0</v>
      </c>
      <c r="P43" s="99"/>
    </row>
    <row r="44" spans="1:16" x14ac:dyDescent="0.2">
      <c r="A44" s="99">
        <v>50</v>
      </c>
      <c r="B44" s="99">
        <v>0</v>
      </c>
      <c r="C44" s="99">
        <v>0</v>
      </c>
      <c r="D44" s="99">
        <v>1</v>
      </c>
      <c r="E44" s="99">
        <v>210</v>
      </c>
      <c r="F44" s="99">
        <v>70534</v>
      </c>
      <c r="G44" s="99" t="s">
        <v>136</v>
      </c>
      <c r="H44" s="99" t="s">
        <v>135</v>
      </c>
      <c r="I44" s="99"/>
      <c r="J44" s="99"/>
      <c r="K44" s="99">
        <v>210</v>
      </c>
      <c r="L44" s="99">
        <v>25</v>
      </c>
      <c r="M44" s="99">
        <v>3</v>
      </c>
      <c r="N44" s="99" t="s">
        <v>74</v>
      </c>
      <c r="O44" s="99">
        <v>0</v>
      </c>
      <c r="P44" s="99"/>
    </row>
    <row r="45" spans="1:16" x14ac:dyDescent="0.2">
      <c r="A45" s="99">
        <v>50</v>
      </c>
      <c r="B45" s="99">
        <v>0</v>
      </c>
      <c r="C45" s="99">
        <v>0</v>
      </c>
      <c r="D45" s="99">
        <v>1</v>
      </c>
      <c r="E45" s="99">
        <v>211</v>
      </c>
      <c r="F45" s="99">
        <v>34590</v>
      </c>
      <c r="G45" s="99" t="s">
        <v>134</v>
      </c>
      <c r="H45" s="99" t="s">
        <v>133</v>
      </c>
      <c r="I45" s="99"/>
      <c r="J45" s="99"/>
      <c r="K45" s="99">
        <v>211</v>
      </c>
      <c r="L45" s="99">
        <v>26</v>
      </c>
      <c r="M45" s="99">
        <v>3</v>
      </c>
      <c r="N45" s="99" t="s">
        <v>74</v>
      </c>
      <c r="O45" s="99">
        <v>0</v>
      </c>
      <c r="P45" s="99"/>
    </row>
    <row r="46" spans="1:16" x14ac:dyDescent="0.2">
      <c r="A46" s="99">
        <v>50</v>
      </c>
      <c r="B46" s="99">
        <v>0</v>
      </c>
      <c r="C46" s="99">
        <v>0</v>
      </c>
      <c r="D46" s="99">
        <v>1</v>
      </c>
      <c r="E46" s="99">
        <v>224</v>
      </c>
      <c r="F46" s="99">
        <v>415553</v>
      </c>
      <c r="G46" s="99" t="s">
        <v>132</v>
      </c>
      <c r="H46" s="99" t="s">
        <v>131</v>
      </c>
      <c r="I46" s="99"/>
      <c r="J46" s="99"/>
      <c r="K46" s="99">
        <v>224</v>
      </c>
      <c r="L46" s="99">
        <v>27</v>
      </c>
      <c r="M46" s="99">
        <v>3</v>
      </c>
      <c r="N46" s="99" t="s">
        <v>74</v>
      </c>
      <c r="O46" s="99">
        <v>0</v>
      </c>
      <c r="P46" s="99"/>
    </row>
    <row r="48" spans="1:16" x14ac:dyDescent="0.2">
      <c r="A48" s="27">
        <v>-1</v>
      </c>
    </row>
    <row r="51" spans="1:40" x14ac:dyDescent="0.2">
      <c r="A51" s="98">
        <v>75</v>
      </c>
      <c r="B51" s="98" t="s">
        <v>76</v>
      </c>
      <c r="C51" s="98">
        <v>2021</v>
      </c>
      <c r="D51" s="98">
        <v>0</v>
      </c>
      <c r="E51" s="98">
        <v>12</v>
      </c>
      <c r="F51" s="98">
        <v>0</v>
      </c>
      <c r="G51" s="98">
        <v>0</v>
      </c>
      <c r="H51" s="98">
        <v>1</v>
      </c>
      <c r="I51" s="98">
        <v>0</v>
      </c>
      <c r="J51" s="98">
        <v>3</v>
      </c>
      <c r="K51" s="98">
        <v>0</v>
      </c>
      <c r="L51" s="98">
        <v>0</v>
      </c>
      <c r="M51" s="98">
        <v>0</v>
      </c>
      <c r="N51" s="98">
        <v>34787475</v>
      </c>
      <c r="O51" s="98">
        <v>1</v>
      </c>
    </row>
    <row r="52" spans="1:40" x14ac:dyDescent="0.2">
      <c r="A52" s="97">
        <v>1</v>
      </c>
      <c r="B52" s="97" t="s">
        <v>75</v>
      </c>
      <c r="C52" s="97" t="s">
        <v>74</v>
      </c>
      <c r="D52" s="97">
        <v>0</v>
      </c>
      <c r="E52" s="97">
        <v>0</v>
      </c>
      <c r="F52" s="97">
        <v>1</v>
      </c>
      <c r="G52" s="97">
        <v>1</v>
      </c>
      <c r="H52" s="97">
        <v>1</v>
      </c>
      <c r="I52" s="97">
        <v>2</v>
      </c>
      <c r="J52" s="97">
        <v>1</v>
      </c>
      <c r="K52" s="97">
        <v>1</v>
      </c>
      <c r="L52" s="97">
        <v>1</v>
      </c>
      <c r="M52" s="97">
        <v>1</v>
      </c>
      <c r="N52" s="97">
        <v>1</v>
      </c>
      <c r="O52" s="97">
        <v>1</v>
      </c>
      <c r="P52" s="97">
        <v>1</v>
      </c>
      <c r="Q52" s="97">
        <v>1</v>
      </c>
      <c r="R52" s="97" t="s">
        <v>74</v>
      </c>
      <c r="S52" s="97" t="s">
        <v>74</v>
      </c>
      <c r="T52" s="97" t="s">
        <v>74</v>
      </c>
      <c r="U52" s="97" t="s">
        <v>74</v>
      </c>
      <c r="V52" s="97" t="s">
        <v>74</v>
      </c>
      <c r="W52" s="97" t="s">
        <v>74</v>
      </c>
      <c r="X52" s="97" t="s">
        <v>74</v>
      </c>
      <c r="Y52" s="97" t="s">
        <v>74</v>
      </c>
      <c r="Z52" s="97" t="s">
        <v>74</v>
      </c>
      <c r="AA52" s="97" t="s">
        <v>74</v>
      </c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v>34787476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51"/>
  <sheetViews>
    <sheetView workbookViewId="0">
      <selection activeCell="C22" sqref="C22:F22"/>
    </sheetView>
  </sheetViews>
  <sheetFormatPr defaultColWidth="9.140625" defaultRowHeight="12.75" x14ac:dyDescent="0.2"/>
  <cols>
    <col min="1" max="256" width="9.140625" style="27" customWidth="1"/>
    <col min="257" max="16384" width="9.140625" style="27"/>
  </cols>
  <sheetData>
    <row r="1" spans="1:107" x14ac:dyDescent="0.2">
      <c r="A1" s="27">
        <f>ROW(Source!A28)</f>
        <v>28</v>
      </c>
      <c r="B1" s="27">
        <v>34787475</v>
      </c>
      <c r="C1" s="27">
        <v>34787487</v>
      </c>
      <c r="D1" s="27">
        <v>18126826</v>
      </c>
      <c r="E1" s="27">
        <v>1</v>
      </c>
      <c r="F1" s="27">
        <v>1</v>
      </c>
      <c r="G1" s="27">
        <v>1</v>
      </c>
      <c r="H1" s="27">
        <v>1</v>
      </c>
      <c r="I1" s="27" t="s">
        <v>371</v>
      </c>
      <c r="J1" s="27" t="s">
        <v>74</v>
      </c>
      <c r="K1" s="27" t="s">
        <v>370</v>
      </c>
      <c r="L1" s="27">
        <v>1369</v>
      </c>
      <c r="N1" s="27">
        <v>1013</v>
      </c>
      <c r="O1" s="27" t="s">
        <v>250</v>
      </c>
      <c r="P1" s="27" t="s">
        <v>250</v>
      </c>
      <c r="Q1" s="27">
        <v>1</v>
      </c>
      <c r="W1" s="27">
        <v>0</v>
      </c>
      <c r="X1" s="27">
        <v>435185502</v>
      </c>
      <c r="Y1" s="27">
        <v>0.52</v>
      </c>
      <c r="AA1" s="27">
        <v>0</v>
      </c>
      <c r="AB1" s="27">
        <v>0</v>
      </c>
      <c r="AC1" s="27">
        <v>0</v>
      </c>
      <c r="AD1" s="27">
        <v>8.74</v>
      </c>
      <c r="AE1" s="27">
        <v>0</v>
      </c>
      <c r="AF1" s="27">
        <v>0</v>
      </c>
      <c r="AG1" s="27">
        <v>0</v>
      </c>
      <c r="AH1" s="27">
        <v>8.74</v>
      </c>
      <c r="AI1" s="27">
        <v>1</v>
      </c>
      <c r="AJ1" s="27">
        <v>1</v>
      </c>
      <c r="AK1" s="27">
        <v>1</v>
      </c>
      <c r="AL1" s="27">
        <v>1</v>
      </c>
      <c r="AN1" s="27">
        <v>0</v>
      </c>
      <c r="AO1" s="27">
        <v>1</v>
      </c>
      <c r="AP1" s="27">
        <v>0</v>
      </c>
      <c r="AQ1" s="27">
        <v>0</v>
      </c>
      <c r="AR1" s="27">
        <v>0</v>
      </c>
      <c r="AS1" s="27" t="s">
        <v>74</v>
      </c>
      <c r="AT1" s="27">
        <v>0.52</v>
      </c>
      <c r="AU1" s="27" t="s">
        <v>74</v>
      </c>
      <c r="AV1" s="27">
        <v>1</v>
      </c>
      <c r="AW1" s="27">
        <v>2</v>
      </c>
      <c r="AX1" s="27">
        <v>34787488</v>
      </c>
      <c r="AY1" s="27">
        <v>1</v>
      </c>
      <c r="AZ1" s="27">
        <v>0</v>
      </c>
      <c r="BA1" s="27">
        <v>1</v>
      </c>
      <c r="BB1" s="27">
        <v>0</v>
      </c>
      <c r="BC1" s="27">
        <v>0</v>
      </c>
      <c r="BD1" s="27">
        <v>0</v>
      </c>
      <c r="BE1" s="27">
        <v>0</v>
      </c>
      <c r="BF1" s="27">
        <v>0</v>
      </c>
      <c r="BG1" s="27">
        <v>0</v>
      </c>
      <c r="BH1" s="27">
        <v>0</v>
      </c>
      <c r="BI1" s="27">
        <v>0</v>
      </c>
      <c r="BJ1" s="27">
        <v>0</v>
      </c>
      <c r="BK1" s="27">
        <v>0</v>
      </c>
      <c r="BL1" s="27">
        <v>0</v>
      </c>
      <c r="BM1" s="27">
        <v>0</v>
      </c>
      <c r="BN1" s="27">
        <v>0</v>
      </c>
      <c r="BO1" s="27">
        <v>0</v>
      </c>
      <c r="BP1" s="27">
        <v>0</v>
      </c>
      <c r="BQ1" s="27">
        <v>0</v>
      </c>
      <c r="BR1" s="27">
        <v>0</v>
      </c>
      <c r="BS1" s="27">
        <v>0</v>
      </c>
      <c r="BT1" s="27">
        <v>0</v>
      </c>
      <c r="BU1" s="27">
        <v>0</v>
      </c>
      <c r="BV1" s="27">
        <v>0</v>
      </c>
      <c r="BW1" s="27">
        <v>0</v>
      </c>
      <c r="CX1" s="27">
        <f>Y1*Source!I28</f>
        <v>0.52</v>
      </c>
      <c r="CY1" s="27">
        <f>AD1</f>
        <v>8.74</v>
      </c>
      <c r="CZ1" s="27">
        <f>AH1</f>
        <v>8.74</v>
      </c>
      <c r="DA1" s="27">
        <f>AL1</f>
        <v>1</v>
      </c>
      <c r="DB1" s="27">
        <f>ROUND(ROUND(AT1*CZ1,2),6)</f>
        <v>4.54</v>
      </c>
      <c r="DC1" s="27">
        <f>ROUND(ROUND(AT1*AG1,2),6)</f>
        <v>0</v>
      </c>
    </row>
    <row r="2" spans="1:107" x14ac:dyDescent="0.2">
      <c r="A2" s="27">
        <f>ROW(Source!A28)</f>
        <v>28</v>
      </c>
      <c r="B2" s="27">
        <v>34787475</v>
      </c>
      <c r="C2" s="27">
        <v>34787487</v>
      </c>
      <c r="D2" s="27">
        <v>121548</v>
      </c>
      <c r="E2" s="27">
        <v>1</v>
      </c>
      <c r="F2" s="27">
        <v>1</v>
      </c>
      <c r="G2" s="27">
        <v>1</v>
      </c>
      <c r="H2" s="27">
        <v>1</v>
      </c>
      <c r="I2" s="27" t="s">
        <v>227</v>
      </c>
      <c r="J2" s="27" t="s">
        <v>74</v>
      </c>
      <c r="K2" s="27" t="s">
        <v>299</v>
      </c>
      <c r="L2" s="27">
        <v>1369</v>
      </c>
      <c r="N2" s="27">
        <v>1013</v>
      </c>
      <c r="O2" s="27" t="s">
        <v>250</v>
      </c>
      <c r="P2" s="27" t="s">
        <v>250</v>
      </c>
      <c r="Q2" s="27">
        <v>1</v>
      </c>
      <c r="W2" s="27">
        <v>0</v>
      </c>
      <c r="X2" s="27">
        <v>18861106</v>
      </c>
      <c r="Y2" s="27">
        <v>0.06</v>
      </c>
      <c r="AA2" s="27">
        <v>0</v>
      </c>
      <c r="AB2" s="27">
        <v>0</v>
      </c>
      <c r="AC2" s="27">
        <v>0</v>
      </c>
      <c r="AD2" s="27">
        <v>0</v>
      </c>
      <c r="AE2" s="27">
        <v>0</v>
      </c>
      <c r="AF2" s="27">
        <v>0</v>
      </c>
      <c r="AG2" s="27">
        <v>0</v>
      </c>
      <c r="AH2" s="27">
        <v>0</v>
      </c>
      <c r="AI2" s="27">
        <v>1</v>
      </c>
      <c r="AJ2" s="27">
        <v>1</v>
      </c>
      <c r="AK2" s="27">
        <v>1</v>
      </c>
      <c r="AL2" s="27">
        <v>1</v>
      </c>
      <c r="AN2" s="27">
        <v>0</v>
      </c>
      <c r="AO2" s="27">
        <v>1</v>
      </c>
      <c r="AP2" s="27">
        <v>0</v>
      </c>
      <c r="AQ2" s="27">
        <v>0</v>
      </c>
      <c r="AR2" s="27">
        <v>0</v>
      </c>
      <c r="AS2" s="27" t="s">
        <v>74</v>
      </c>
      <c r="AT2" s="27">
        <v>0.06</v>
      </c>
      <c r="AU2" s="27" t="s">
        <v>74</v>
      </c>
      <c r="AV2" s="27">
        <v>2</v>
      </c>
      <c r="AW2" s="27">
        <v>2</v>
      </c>
      <c r="AX2" s="27">
        <v>34787489</v>
      </c>
      <c r="AY2" s="27">
        <v>1</v>
      </c>
      <c r="AZ2" s="27">
        <v>0</v>
      </c>
      <c r="BA2" s="27">
        <v>2</v>
      </c>
      <c r="BB2" s="27">
        <v>0</v>
      </c>
      <c r="BC2" s="27">
        <v>0</v>
      </c>
      <c r="BD2" s="27">
        <v>0</v>
      </c>
      <c r="BE2" s="27">
        <v>0</v>
      </c>
      <c r="BF2" s="27">
        <v>0</v>
      </c>
      <c r="BG2" s="27">
        <v>0</v>
      </c>
      <c r="BH2" s="27">
        <v>0</v>
      </c>
      <c r="BI2" s="27">
        <v>0</v>
      </c>
      <c r="BJ2" s="27">
        <v>0</v>
      </c>
      <c r="BK2" s="27">
        <v>0</v>
      </c>
      <c r="BL2" s="27">
        <v>0</v>
      </c>
      <c r="BM2" s="27">
        <v>0</v>
      </c>
      <c r="BN2" s="27">
        <v>0</v>
      </c>
      <c r="BO2" s="27">
        <v>0</v>
      </c>
      <c r="BP2" s="27">
        <v>0</v>
      </c>
      <c r="BQ2" s="27">
        <v>0</v>
      </c>
      <c r="BR2" s="27">
        <v>0</v>
      </c>
      <c r="BS2" s="27">
        <v>0</v>
      </c>
      <c r="BT2" s="27">
        <v>0</v>
      </c>
      <c r="BU2" s="27">
        <v>0</v>
      </c>
      <c r="BV2" s="27">
        <v>0</v>
      </c>
      <c r="BW2" s="27">
        <v>0</v>
      </c>
      <c r="CX2" s="27">
        <f>Y2*Source!I28</f>
        <v>0.06</v>
      </c>
      <c r="CY2" s="27">
        <f>AD2</f>
        <v>0</v>
      </c>
      <c r="CZ2" s="27">
        <f>AH2</f>
        <v>0</v>
      </c>
      <c r="DA2" s="27">
        <f>AL2</f>
        <v>1</v>
      </c>
      <c r="DB2" s="27">
        <f>ROUND(ROUND(AT2*CZ2,2),6)</f>
        <v>0</v>
      </c>
      <c r="DC2" s="27">
        <f>ROUND(ROUND(AT2*AG2,2),6)</f>
        <v>0</v>
      </c>
    </row>
    <row r="3" spans="1:107" x14ac:dyDescent="0.2">
      <c r="A3" s="27">
        <f>ROW(Source!A28)</f>
        <v>28</v>
      </c>
      <c r="B3" s="27">
        <v>34787475</v>
      </c>
      <c r="C3" s="27">
        <v>34787487</v>
      </c>
      <c r="D3" s="27">
        <v>17784244</v>
      </c>
      <c r="E3" s="27">
        <v>1</v>
      </c>
      <c r="F3" s="27">
        <v>1</v>
      </c>
      <c r="G3" s="27">
        <v>1</v>
      </c>
      <c r="H3" s="27">
        <v>2</v>
      </c>
      <c r="I3" s="27" t="s">
        <v>369</v>
      </c>
      <c r="J3" s="27" t="s">
        <v>368</v>
      </c>
      <c r="K3" s="27" t="s">
        <v>367</v>
      </c>
      <c r="L3" s="27">
        <v>1368</v>
      </c>
      <c r="N3" s="27">
        <v>1011</v>
      </c>
      <c r="O3" s="27" t="s">
        <v>348</v>
      </c>
      <c r="P3" s="27" t="s">
        <v>348</v>
      </c>
      <c r="Q3" s="27">
        <v>1</v>
      </c>
      <c r="W3" s="27">
        <v>0</v>
      </c>
      <c r="X3" s="27">
        <v>-1717987749</v>
      </c>
      <c r="Y3" s="27">
        <v>0.05</v>
      </c>
      <c r="AA3" s="27">
        <v>0</v>
      </c>
      <c r="AB3" s="27">
        <v>8.1</v>
      </c>
      <c r="AC3" s="27">
        <v>0</v>
      </c>
      <c r="AD3" s="27">
        <v>0</v>
      </c>
      <c r="AE3" s="27">
        <v>0</v>
      </c>
      <c r="AF3" s="27">
        <v>8.1</v>
      </c>
      <c r="AG3" s="27">
        <v>0</v>
      </c>
      <c r="AH3" s="27">
        <v>0</v>
      </c>
      <c r="AI3" s="27">
        <v>1</v>
      </c>
      <c r="AJ3" s="27">
        <v>1</v>
      </c>
      <c r="AK3" s="27">
        <v>1</v>
      </c>
      <c r="AL3" s="27">
        <v>1</v>
      </c>
      <c r="AN3" s="27">
        <v>0</v>
      </c>
      <c r="AO3" s="27">
        <v>1</v>
      </c>
      <c r="AP3" s="27">
        <v>0</v>
      </c>
      <c r="AQ3" s="27">
        <v>0</v>
      </c>
      <c r="AR3" s="27">
        <v>0</v>
      </c>
      <c r="AS3" s="27" t="s">
        <v>74</v>
      </c>
      <c r="AT3" s="27">
        <v>0.05</v>
      </c>
      <c r="AU3" s="27" t="s">
        <v>74</v>
      </c>
      <c r="AV3" s="27">
        <v>0</v>
      </c>
      <c r="AW3" s="27">
        <v>2</v>
      </c>
      <c r="AX3" s="27">
        <v>34787490</v>
      </c>
      <c r="AY3" s="27">
        <v>1</v>
      </c>
      <c r="AZ3" s="27">
        <v>0</v>
      </c>
      <c r="BA3" s="27">
        <v>3</v>
      </c>
      <c r="BB3" s="27">
        <v>0</v>
      </c>
      <c r="BC3" s="27">
        <v>0</v>
      </c>
      <c r="BD3" s="27">
        <v>0</v>
      </c>
      <c r="BE3" s="27">
        <v>0</v>
      </c>
      <c r="BF3" s="27">
        <v>0</v>
      </c>
      <c r="BG3" s="27">
        <v>0</v>
      </c>
      <c r="BH3" s="27">
        <v>0</v>
      </c>
      <c r="BI3" s="27">
        <v>0</v>
      </c>
      <c r="BJ3" s="27">
        <v>0</v>
      </c>
      <c r="BK3" s="27">
        <v>0</v>
      </c>
      <c r="BL3" s="27">
        <v>0</v>
      </c>
      <c r="BM3" s="27">
        <v>0</v>
      </c>
      <c r="BN3" s="27">
        <v>0</v>
      </c>
      <c r="BO3" s="27">
        <v>0</v>
      </c>
      <c r="BP3" s="27">
        <v>0</v>
      </c>
      <c r="BQ3" s="27">
        <v>0</v>
      </c>
      <c r="BR3" s="27">
        <v>0</v>
      </c>
      <c r="BS3" s="27">
        <v>0</v>
      </c>
      <c r="BT3" s="27">
        <v>0</v>
      </c>
      <c r="BU3" s="27">
        <v>0</v>
      </c>
      <c r="BV3" s="27">
        <v>0</v>
      </c>
      <c r="BW3" s="27">
        <v>0</v>
      </c>
      <c r="CX3" s="27">
        <f>Y3*Source!I28</f>
        <v>0.05</v>
      </c>
      <c r="CY3" s="27">
        <f>AB3</f>
        <v>8.1</v>
      </c>
      <c r="CZ3" s="27">
        <f>AF3</f>
        <v>8.1</v>
      </c>
      <c r="DA3" s="27">
        <f>AJ3</f>
        <v>1</v>
      </c>
      <c r="DB3" s="27">
        <f>ROUND(ROUND(AT3*CZ3,2),6)</f>
        <v>0.41</v>
      </c>
      <c r="DC3" s="27">
        <f>ROUND(ROUND(AT3*AG3,2),6)</f>
        <v>0</v>
      </c>
    </row>
    <row r="4" spans="1:107" x14ac:dyDescent="0.2">
      <c r="A4" s="27">
        <f>ROW(Source!A28)</f>
        <v>28</v>
      </c>
      <c r="B4" s="27">
        <v>34787475</v>
      </c>
      <c r="C4" s="27">
        <v>34787487</v>
      </c>
      <c r="D4" s="27">
        <v>17786306</v>
      </c>
      <c r="E4" s="27">
        <v>1</v>
      </c>
      <c r="F4" s="27">
        <v>1</v>
      </c>
      <c r="G4" s="27">
        <v>1</v>
      </c>
      <c r="H4" s="27">
        <v>2</v>
      </c>
      <c r="I4" s="27" t="s">
        <v>366</v>
      </c>
      <c r="J4" s="27" t="s">
        <v>365</v>
      </c>
      <c r="K4" s="27" t="s">
        <v>364</v>
      </c>
      <c r="L4" s="27">
        <v>1368</v>
      </c>
      <c r="N4" s="27">
        <v>1011</v>
      </c>
      <c r="O4" s="27" t="s">
        <v>348</v>
      </c>
      <c r="P4" s="27" t="s">
        <v>348</v>
      </c>
      <c r="Q4" s="27">
        <v>1</v>
      </c>
      <c r="W4" s="27">
        <v>0</v>
      </c>
      <c r="X4" s="27">
        <v>-910368963</v>
      </c>
      <c r="Y4" s="27">
        <v>0.03</v>
      </c>
      <c r="AA4" s="27">
        <v>0</v>
      </c>
      <c r="AB4" s="27">
        <v>70</v>
      </c>
      <c r="AC4" s="27">
        <v>0</v>
      </c>
      <c r="AD4" s="27">
        <v>0</v>
      </c>
      <c r="AE4" s="27">
        <v>0</v>
      </c>
      <c r="AF4" s="27">
        <v>70</v>
      </c>
      <c r="AG4" s="27">
        <v>0</v>
      </c>
      <c r="AH4" s="27">
        <v>0</v>
      </c>
      <c r="AI4" s="27">
        <v>1</v>
      </c>
      <c r="AJ4" s="27">
        <v>1</v>
      </c>
      <c r="AK4" s="27">
        <v>1</v>
      </c>
      <c r="AL4" s="27">
        <v>1</v>
      </c>
      <c r="AN4" s="27">
        <v>0</v>
      </c>
      <c r="AO4" s="27">
        <v>1</v>
      </c>
      <c r="AP4" s="27">
        <v>0</v>
      </c>
      <c r="AQ4" s="27">
        <v>0</v>
      </c>
      <c r="AR4" s="27">
        <v>0</v>
      </c>
      <c r="AS4" s="27" t="s">
        <v>74</v>
      </c>
      <c r="AT4" s="27">
        <v>0.03</v>
      </c>
      <c r="AU4" s="27" t="s">
        <v>74</v>
      </c>
      <c r="AV4" s="27">
        <v>0</v>
      </c>
      <c r="AW4" s="27">
        <v>2</v>
      </c>
      <c r="AX4" s="27">
        <v>34787491</v>
      </c>
      <c r="AY4" s="27">
        <v>1</v>
      </c>
      <c r="AZ4" s="27">
        <v>0</v>
      </c>
      <c r="BA4" s="27">
        <v>4</v>
      </c>
      <c r="BB4" s="27">
        <v>0</v>
      </c>
      <c r="BC4" s="27">
        <v>0</v>
      </c>
      <c r="BD4" s="27">
        <v>0</v>
      </c>
      <c r="BE4" s="27">
        <v>0</v>
      </c>
      <c r="BF4" s="27">
        <v>0</v>
      </c>
      <c r="BG4" s="27">
        <v>0</v>
      </c>
      <c r="BH4" s="27">
        <v>0</v>
      </c>
      <c r="BI4" s="27">
        <v>0</v>
      </c>
      <c r="BJ4" s="27">
        <v>0</v>
      </c>
      <c r="BK4" s="27">
        <v>0</v>
      </c>
      <c r="BL4" s="27">
        <v>0</v>
      </c>
      <c r="BM4" s="27">
        <v>0</v>
      </c>
      <c r="BN4" s="27">
        <v>0</v>
      </c>
      <c r="BO4" s="27">
        <v>0</v>
      </c>
      <c r="BP4" s="27">
        <v>0</v>
      </c>
      <c r="BQ4" s="27">
        <v>0</v>
      </c>
      <c r="BR4" s="27">
        <v>0</v>
      </c>
      <c r="BS4" s="27">
        <v>0</v>
      </c>
      <c r="BT4" s="27">
        <v>0</v>
      </c>
      <c r="BU4" s="27">
        <v>0</v>
      </c>
      <c r="BV4" s="27">
        <v>0</v>
      </c>
      <c r="BW4" s="27">
        <v>0</v>
      </c>
      <c r="CX4" s="27">
        <f>Y4*Source!I28</f>
        <v>0.03</v>
      </c>
      <c r="CY4" s="27">
        <f>AB4</f>
        <v>70</v>
      </c>
      <c r="CZ4" s="27">
        <f>AF4</f>
        <v>70</v>
      </c>
      <c r="DA4" s="27">
        <f>AJ4</f>
        <v>1</v>
      </c>
      <c r="DB4" s="27">
        <f>ROUND(ROUND(AT4*CZ4,2),6)</f>
        <v>2.1</v>
      </c>
      <c r="DC4" s="27">
        <f>ROUND(ROUND(AT4*AG4,2),6)</f>
        <v>0</v>
      </c>
    </row>
    <row r="5" spans="1:107" x14ac:dyDescent="0.2">
      <c r="A5" s="27">
        <f>ROW(Source!A28)</f>
        <v>28</v>
      </c>
      <c r="B5" s="27">
        <v>34787475</v>
      </c>
      <c r="C5" s="27">
        <v>34787487</v>
      </c>
      <c r="D5" s="27">
        <v>17786310</v>
      </c>
      <c r="E5" s="27">
        <v>1</v>
      </c>
      <c r="F5" s="27">
        <v>1</v>
      </c>
      <c r="G5" s="27">
        <v>1</v>
      </c>
      <c r="H5" s="27">
        <v>2</v>
      </c>
      <c r="I5" s="27" t="s">
        <v>363</v>
      </c>
      <c r="J5" s="27" t="s">
        <v>362</v>
      </c>
      <c r="K5" s="27" t="s">
        <v>361</v>
      </c>
      <c r="L5" s="27">
        <v>1368</v>
      </c>
      <c r="N5" s="27">
        <v>1011</v>
      </c>
      <c r="O5" s="27" t="s">
        <v>348</v>
      </c>
      <c r="P5" s="27" t="s">
        <v>348</v>
      </c>
      <c r="Q5" s="27">
        <v>1</v>
      </c>
      <c r="W5" s="27">
        <v>0</v>
      </c>
      <c r="X5" s="27">
        <v>-1089575284</v>
      </c>
      <c r="Y5" s="27">
        <v>0.03</v>
      </c>
      <c r="AA5" s="27">
        <v>0</v>
      </c>
      <c r="AB5" s="27">
        <v>2.36</v>
      </c>
      <c r="AC5" s="27">
        <v>0</v>
      </c>
      <c r="AD5" s="27">
        <v>0</v>
      </c>
      <c r="AE5" s="27">
        <v>0</v>
      </c>
      <c r="AF5" s="27">
        <v>2.36</v>
      </c>
      <c r="AG5" s="27">
        <v>0</v>
      </c>
      <c r="AH5" s="27">
        <v>0</v>
      </c>
      <c r="AI5" s="27">
        <v>1</v>
      </c>
      <c r="AJ5" s="27">
        <v>1</v>
      </c>
      <c r="AK5" s="27">
        <v>1</v>
      </c>
      <c r="AL5" s="27">
        <v>1</v>
      </c>
      <c r="AN5" s="27">
        <v>0</v>
      </c>
      <c r="AO5" s="27">
        <v>1</v>
      </c>
      <c r="AP5" s="27">
        <v>0</v>
      </c>
      <c r="AQ5" s="27">
        <v>0</v>
      </c>
      <c r="AR5" s="27">
        <v>0</v>
      </c>
      <c r="AS5" s="27" t="s">
        <v>74</v>
      </c>
      <c r="AT5" s="27">
        <v>0.03</v>
      </c>
      <c r="AU5" s="27" t="s">
        <v>74</v>
      </c>
      <c r="AV5" s="27">
        <v>0</v>
      </c>
      <c r="AW5" s="27">
        <v>2</v>
      </c>
      <c r="AX5" s="27">
        <v>34787492</v>
      </c>
      <c r="AY5" s="27">
        <v>1</v>
      </c>
      <c r="AZ5" s="27">
        <v>0</v>
      </c>
      <c r="BA5" s="27">
        <v>5</v>
      </c>
      <c r="BB5" s="27">
        <v>0</v>
      </c>
      <c r="BC5" s="27">
        <v>0</v>
      </c>
      <c r="BD5" s="27">
        <v>0</v>
      </c>
      <c r="BE5" s="27">
        <v>0</v>
      </c>
      <c r="BF5" s="27">
        <v>0</v>
      </c>
      <c r="BG5" s="27">
        <v>0</v>
      </c>
      <c r="BH5" s="27">
        <v>0</v>
      </c>
      <c r="BI5" s="27">
        <v>0</v>
      </c>
      <c r="BJ5" s="27">
        <v>0</v>
      </c>
      <c r="BK5" s="27">
        <v>0</v>
      </c>
      <c r="BL5" s="27">
        <v>0</v>
      </c>
      <c r="BM5" s="27">
        <v>0</v>
      </c>
      <c r="BN5" s="27">
        <v>0</v>
      </c>
      <c r="BO5" s="27">
        <v>0</v>
      </c>
      <c r="BP5" s="27">
        <v>0</v>
      </c>
      <c r="BQ5" s="27">
        <v>0</v>
      </c>
      <c r="BR5" s="27">
        <v>0</v>
      </c>
      <c r="BS5" s="27">
        <v>0</v>
      </c>
      <c r="BT5" s="27">
        <v>0</v>
      </c>
      <c r="BU5" s="27">
        <v>0</v>
      </c>
      <c r="BV5" s="27">
        <v>0</v>
      </c>
      <c r="BW5" s="27">
        <v>0</v>
      </c>
      <c r="CX5" s="27">
        <f>Y5*Source!I28</f>
        <v>0.03</v>
      </c>
      <c r="CY5" s="27">
        <f>AB5</f>
        <v>2.36</v>
      </c>
      <c r="CZ5" s="27">
        <f>AF5</f>
        <v>2.36</v>
      </c>
      <c r="DA5" s="27">
        <f>AJ5</f>
        <v>1</v>
      </c>
      <c r="DB5" s="27">
        <f>ROUND(ROUND(AT5*CZ5,2),6)</f>
        <v>7.0000000000000007E-2</v>
      </c>
      <c r="DC5" s="27">
        <f>ROUND(ROUND(AT5*AG5,2),6)</f>
        <v>0</v>
      </c>
    </row>
    <row r="6" spans="1:107" x14ac:dyDescent="0.2">
      <c r="A6" s="27">
        <f>ROW(Source!A28)</f>
        <v>28</v>
      </c>
      <c r="B6" s="27">
        <v>34787475</v>
      </c>
      <c r="C6" s="27">
        <v>34787487</v>
      </c>
      <c r="D6" s="27">
        <v>17786361</v>
      </c>
      <c r="E6" s="27">
        <v>1</v>
      </c>
      <c r="F6" s="27">
        <v>1</v>
      </c>
      <c r="G6" s="27">
        <v>1</v>
      </c>
      <c r="H6" s="27">
        <v>2</v>
      </c>
      <c r="I6" s="27" t="s">
        <v>360</v>
      </c>
      <c r="J6" s="27" t="s">
        <v>359</v>
      </c>
      <c r="K6" s="27" t="s">
        <v>358</v>
      </c>
      <c r="L6" s="27">
        <v>1368</v>
      </c>
      <c r="N6" s="27">
        <v>1011</v>
      </c>
      <c r="O6" s="27" t="s">
        <v>348</v>
      </c>
      <c r="P6" s="27" t="s">
        <v>348</v>
      </c>
      <c r="Q6" s="27">
        <v>1</v>
      </c>
      <c r="W6" s="27">
        <v>0</v>
      </c>
      <c r="X6" s="27">
        <v>1930228099</v>
      </c>
      <c r="Y6" s="27">
        <v>0.5</v>
      </c>
      <c r="AA6" s="27">
        <v>0</v>
      </c>
      <c r="AB6" s="27">
        <v>2.08</v>
      </c>
      <c r="AC6" s="27">
        <v>0</v>
      </c>
      <c r="AD6" s="27">
        <v>0</v>
      </c>
      <c r="AE6" s="27">
        <v>0</v>
      </c>
      <c r="AF6" s="27">
        <v>2.08</v>
      </c>
      <c r="AG6" s="27">
        <v>0</v>
      </c>
      <c r="AH6" s="27">
        <v>0</v>
      </c>
      <c r="AI6" s="27">
        <v>1</v>
      </c>
      <c r="AJ6" s="27">
        <v>1</v>
      </c>
      <c r="AK6" s="27">
        <v>1</v>
      </c>
      <c r="AL6" s="27">
        <v>1</v>
      </c>
      <c r="AN6" s="27">
        <v>0</v>
      </c>
      <c r="AO6" s="27">
        <v>1</v>
      </c>
      <c r="AP6" s="27">
        <v>0</v>
      </c>
      <c r="AQ6" s="27">
        <v>0</v>
      </c>
      <c r="AR6" s="27">
        <v>0</v>
      </c>
      <c r="AS6" s="27" t="s">
        <v>74</v>
      </c>
      <c r="AT6" s="27">
        <v>0.5</v>
      </c>
      <c r="AU6" s="27" t="s">
        <v>74</v>
      </c>
      <c r="AV6" s="27">
        <v>0</v>
      </c>
      <c r="AW6" s="27">
        <v>2</v>
      </c>
      <c r="AX6" s="27">
        <v>34787493</v>
      </c>
      <c r="AY6" s="27">
        <v>1</v>
      </c>
      <c r="AZ6" s="27">
        <v>0</v>
      </c>
      <c r="BA6" s="27">
        <v>6</v>
      </c>
      <c r="BB6" s="27">
        <v>0</v>
      </c>
      <c r="BC6" s="27">
        <v>0</v>
      </c>
      <c r="BD6" s="27">
        <v>0</v>
      </c>
      <c r="BE6" s="27">
        <v>0</v>
      </c>
      <c r="BF6" s="27">
        <v>0</v>
      </c>
      <c r="BG6" s="27">
        <v>0</v>
      </c>
      <c r="BH6" s="27">
        <v>0</v>
      </c>
      <c r="BI6" s="27">
        <v>0</v>
      </c>
      <c r="BJ6" s="27">
        <v>0</v>
      </c>
      <c r="BK6" s="27">
        <v>0</v>
      </c>
      <c r="BL6" s="27">
        <v>0</v>
      </c>
      <c r="BM6" s="27">
        <v>0</v>
      </c>
      <c r="BN6" s="27">
        <v>0</v>
      </c>
      <c r="BO6" s="27">
        <v>0</v>
      </c>
      <c r="BP6" s="27">
        <v>0</v>
      </c>
      <c r="BQ6" s="27">
        <v>0</v>
      </c>
      <c r="BR6" s="27">
        <v>0</v>
      </c>
      <c r="BS6" s="27">
        <v>0</v>
      </c>
      <c r="BT6" s="27">
        <v>0</v>
      </c>
      <c r="BU6" s="27">
        <v>0</v>
      </c>
      <c r="BV6" s="27">
        <v>0</v>
      </c>
      <c r="BW6" s="27">
        <v>0</v>
      </c>
      <c r="CX6" s="27">
        <f>Y6*Source!I28</f>
        <v>0.5</v>
      </c>
      <c r="CY6" s="27">
        <f>AB6</f>
        <v>2.08</v>
      </c>
      <c r="CZ6" s="27">
        <f>AF6</f>
        <v>2.08</v>
      </c>
      <c r="DA6" s="27">
        <f>AJ6</f>
        <v>1</v>
      </c>
      <c r="DB6" s="27">
        <f>ROUND(ROUND(AT6*CZ6,2),6)</f>
        <v>1.04</v>
      </c>
      <c r="DC6" s="27">
        <f>ROUND(ROUND(AT6*AG6,2),6)</f>
        <v>0</v>
      </c>
    </row>
    <row r="7" spans="1:107" x14ac:dyDescent="0.2">
      <c r="A7" s="27">
        <f>ROW(Source!A28)</f>
        <v>28</v>
      </c>
      <c r="B7" s="27">
        <v>34787475</v>
      </c>
      <c r="C7" s="27">
        <v>34787487</v>
      </c>
      <c r="D7" s="27">
        <v>17786428</v>
      </c>
      <c r="E7" s="27">
        <v>1</v>
      </c>
      <c r="F7" s="27">
        <v>1</v>
      </c>
      <c r="G7" s="27">
        <v>1</v>
      </c>
      <c r="H7" s="27">
        <v>2</v>
      </c>
      <c r="I7" s="27" t="s">
        <v>357</v>
      </c>
      <c r="J7" s="27" t="s">
        <v>356</v>
      </c>
      <c r="K7" s="27" t="s">
        <v>355</v>
      </c>
      <c r="L7" s="27">
        <v>1368</v>
      </c>
      <c r="N7" s="27">
        <v>1011</v>
      </c>
      <c r="O7" s="27" t="s">
        <v>348</v>
      </c>
      <c r="P7" s="27" t="s">
        <v>348</v>
      </c>
      <c r="Q7" s="27">
        <v>1</v>
      </c>
      <c r="W7" s="27">
        <v>0</v>
      </c>
      <c r="X7" s="27">
        <v>2102497331</v>
      </c>
      <c r="Y7" s="27">
        <v>0.04</v>
      </c>
      <c r="AA7" s="27">
        <v>0</v>
      </c>
      <c r="AB7" s="27">
        <v>6.82</v>
      </c>
      <c r="AC7" s="27">
        <v>0</v>
      </c>
      <c r="AD7" s="27">
        <v>0</v>
      </c>
      <c r="AE7" s="27">
        <v>0</v>
      </c>
      <c r="AF7" s="27">
        <v>6.82</v>
      </c>
      <c r="AG7" s="27">
        <v>0</v>
      </c>
      <c r="AH7" s="27">
        <v>0</v>
      </c>
      <c r="AI7" s="27">
        <v>1</v>
      </c>
      <c r="AJ7" s="27">
        <v>1</v>
      </c>
      <c r="AK7" s="27">
        <v>1</v>
      </c>
      <c r="AL7" s="27">
        <v>1</v>
      </c>
      <c r="AN7" s="27">
        <v>0</v>
      </c>
      <c r="AO7" s="27">
        <v>1</v>
      </c>
      <c r="AP7" s="27">
        <v>0</v>
      </c>
      <c r="AQ7" s="27">
        <v>0</v>
      </c>
      <c r="AR7" s="27">
        <v>0</v>
      </c>
      <c r="AS7" s="27" t="s">
        <v>74</v>
      </c>
      <c r="AT7" s="27">
        <v>0.04</v>
      </c>
      <c r="AU7" s="27" t="s">
        <v>74</v>
      </c>
      <c r="AV7" s="27">
        <v>0</v>
      </c>
      <c r="AW7" s="27">
        <v>2</v>
      </c>
      <c r="AX7" s="27">
        <v>34787494</v>
      </c>
      <c r="AY7" s="27">
        <v>1</v>
      </c>
      <c r="AZ7" s="27">
        <v>0</v>
      </c>
      <c r="BA7" s="27">
        <v>7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7">
        <v>0</v>
      </c>
      <c r="BK7" s="27">
        <v>0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7">
        <v>0</v>
      </c>
      <c r="BU7" s="27">
        <v>0</v>
      </c>
      <c r="BV7" s="27">
        <v>0</v>
      </c>
      <c r="BW7" s="27">
        <v>0</v>
      </c>
      <c r="CX7" s="27">
        <f>Y7*Source!I28</f>
        <v>0.04</v>
      </c>
      <c r="CY7" s="27">
        <f>AB7</f>
        <v>6.82</v>
      </c>
      <c r="CZ7" s="27">
        <f>AF7</f>
        <v>6.82</v>
      </c>
      <c r="DA7" s="27">
        <f>AJ7</f>
        <v>1</v>
      </c>
      <c r="DB7" s="27">
        <f>ROUND(ROUND(AT7*CZ7,2),6)</f>
        <v>0.27</v>
      </c>
      <c r="DC7" s="27">
        <f>ROUND(ROUND(AT7*AG7,2),6)</f>
        <v>0</v>
      </c>
    </row>
    <row r="8" spans="1:107" x14ac:dyDescent="0.2">
      <c r="A8" s="27">
        <f>ROW(Source!A28)</f>
        <v>28</v>
      </c>
      <c r="B8" s="27">
        <v>34787475</v>
      </c>
      <c r="C8" s="27">
        <v>34787487</v>
      </c>
      <c r="D8" s="27">
        <v>17786466</v>
      </c>
      <c r="E8" s="27">
        <v>1</v>
      </c>
      <c r="F8" s="27">
        <v>1</v>
      </c>
      <c r="G8" s="27">
        <v>1</v>
      </c>
      <c r="H8" s="27">
        <v>2</v>
      </c>
      <c r="I8" s="27" t="s">
        <v>354</v>
      </c>
      <c r="J8" s="27" t="s">
        <v>353</v>
      </c>
      <c r="K8" s="27" t="s">
        <v>352</v>
      </c>
      <c r="L8" s="27">
        <v>1368</v>
      </c>
      <c r="N8" s="27">
        <v>1011</v>
      </c>
      <c r="O8" s="27" t="s">
        <v>348</v>
      </c>
      <c r="P8" s="27" t="s">
        <v>348</v>
      </c>
      <c r="Q8" s="27">
        <v>1</v>
      </c>
      <c r="W8" s="27">
        <v>0</v>
      </c>
      <c r="X8" s="27">
        <v>-33057698</v>
      </c>
      <c r="Y8" s="27">
        <v>0.03</v>
      </c>
      <c r="AA8" s="27">
        <v>0</v>
      </c>
      <c r="AB8" s="27">
        <v>16.920000000000002</v>
      </c>
      <c r="AC8" s="27">
        <v>0</v>
      </c>
      <c r="AD8" s="27">
        <v>10.06</v>
      </c>
      <c r="AE8" s="27">
        <v>0</v>
      </c>
      <c r="AF8" s="27">
        <v>16.920000000000002</v>
      </c>
      <c r="AG8" s="27">
        <v>0</v>
      </c>
      <c r="AH8" s="27">
        <v>10.06</v>
      </c>
      <c r="AI8" s="27">
        <v>1</v>
      </c>
      <c r="AJ8" s="27">
        <v>1</v>
      </c>
      <c r="AK8" s="27">
        <v>1</v>
      </c>
      <c r="AL8" s="27">
        <v>1</v>
      </c>
      <c r="AN8" s="27">
        <v>0</v>
      </c>
      <c r="AO8" s="27">
        <v>1</v>
      </c>
      <c r="AP8" s="27">
        <v>0</v>
      </c>
      <c r="AQ8" s="27">
        <v>0</v>
      </c>
      <c r="AR8" s="27">
        <v>0</v>
      </c>
      <c r="AS8" s="27" t="s">
        <v>74</v>
      </c>
      <c r="AT8" s="27">
        <v>0.03</v>
      </c>
      <c r="AU8" s="27" t="s">
        <v>74</v>
      </c>
      <c r="AV8" s="27">
        <v>0</v>
      </c>
      <c r="AW8" s="27">
        <v>2</v>
      </c>
      <c r="AX8" s="27">
        <v>34787495</v>
      </c>
      <c r="AY8" s="27">
        <v>1</v>
      </c>
      <c r="AZ8" s="27">
        <v>0</v>
      </c>
      <c r="BA8" s="27">
        <v>8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0</v>
      </c>
      <c r="BJ8" s="27">
        <v>0</v>
      </c>
      <c r="BK8" s="27">
        <v>0</v>
      </c>
      <c r="BL8" s="27">
        <v>0</v>
      </c>
      <c r="BM8" s="27">
        <v>0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7">
        <v>0</v>
      </c>
      <c r="BU8" s="27">
        <v>0</v>
      </c>
      <c r="BV8" s="27">
        <v>0</v>
      </c>
      <c r="BW8" s="27">
        <v>0</v>
      </c>
      <c r="CX8" s="27">
        <f>Y8*Source!I28</f>
        <v>0.03</v>
      </c>
      <c r="CY8" s="27">
        <f>AB8</f>
        <v>16.920000000000002</v>
      </c>
      <c r="CZ8" s="27">
        <f>AF8</f>
        <v>16.920000000000002</v>
      </c>
      <c r="DA8" s="27">
        <f>AJ8</f>
        <v>1</v>
      </c>
      <c r="DB8" s="27">
        <f>ROUND(ROUND(AT8*CZ8,2),6)</f>
        <v>0.51</v>
      </c>
      <c r="DC8" s="27">
        <f>ROUND(ROUND(AT8*AG8,2),6)</f>
        <v>0</v>
      </c>
    </row>
    <row r="9" spans="1:107" x14ac:dyDescent="0.2">
      <c r="A9" s="27">
        <f>ROW(Source!A28)</f>
        <v>28</v>
      </c>
      <c r="B9" s="27">
        <v>34787475</v>
      </c>
      <c r="C9" s="27">
        <v>34787487</v>
      </c>
      <c r="D9" s="27">
        <v>17786468</v>
      </c>
      <c r="E9" s="27">
        <v>1</v>
      </c>
      <c r="F9" s="27">
        <v>1</v>
      </c>
      <c r="G9" s="27">
        <v>1</v>
      </c>
      <c r="H9" s="27">
        <v>2</v>
      </c>
      <c r="I9" s="27" t="s">
        <v>351</v>
      </c>
      <c r="J9" s="27" t="s">
        <v>350</v>
      </c>
      <c r="K9" s="27" t="s">
        <v>349</v>
      </c>
      <c r="L9" s="27">
        <v>1368</v>
      </c>
      <c r="N9" s="27">
        <v>1011</v>
      </c>
      <c r="O9" s="27" t="s">
        <v>348</v>
      </c>
      <c r="P9" s="27" t="s">
        <v>348</v>
      </c>
      <c r="Q9" s="27">
        <v>1</v>
      </c>
      <c r="W9" s="27">
        <v>0</v>
      </c>
      <c r="X9" s="27">
        <v>-1391511873</v>
      </c>
      <c r="Y9" s="27">
        <v>0.03</v>
      </c>
      <c r="AA9" s="27">
        <v>0</v>
      </c>
      <c r="AB9" s="27">
        <v>56.24</v>
      </c>
      <c r="AC9" s="27">
        <v>0</v>
      </c>
      <c r="AD9" s="27">
        <v>10.06</v>
      </c>
      <c r="AE9" s="27">
        <v>0</v>
      </c>
      <c r="AF9" s="27">
        <v>56.24</v>
      </c>
      <c r="AG9" s="27">
        <v>0</v>
      </c>
      <c r="AH9" s="27">
        <v>10.06</v>
      </c>
      <c r="AI9" s="27">
        <v>1</v>
      </c>
      <c r="AJ9" s="27">
        <v>1</v>
      </c>
      <c r="AK9" s="27">
        <v>1</v>
      </c>
      <c r="AL9" s="27">
        <v>1</v>
      </c>
      <c r="AN9" s="27">
        <v>0</v>
      </c>
      <c r="AO9" s="27">
        <v>1</v>
      </c>
      <c r="AP9" s="27">
        <v>0</v>
      </c>
      <c r="AQ9" s="27">
        <v>0</v>
      </c>
      <c r="AR9" s="27">
        <v>0</v>
      </c>
      <c r="AS9" s="27" t="s">
        <v>74</v>
      </c>
      <c r="AT9" s="27">
        <v>0.03</v>
      </c>
      <c r="AU9" s="27" t="s">
        <v>74</v>
      </c>
      <c r="AV9" s="27">
        <v>0</v>
      </c>
      <c r="AW9" s="27">
        <v>2</v>
      </c>
      <c r="AX9" s="27">
        <v>34787496</v>
      </c>
      <c r="AY9" s="27">
        <v>1</v>
      </c>
      <c r="AZ9" s="27">
        <v>0</v>
      </c>
      <c r="BA9" s="27">
        <v>9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0</v>
      </c>
      <c r="BJ9" s="27">
        <v>0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7">
        <v>0</v>
      </c>
      <c r="BU9" s="27">
        <v>0</v>
      </c>
      <c r="BV9" s="27">
        <v>0</v>
      </c>
      <c r="BW9" s="27">
        <v>0</v>
      </c>
      <c r="CX9" s="27">
        <f>Y9*Source!I28</f>
        <v>0.03</v>
      </c>
      <c r="CY9" s="27">
        <f>AB9</f>
        <v>56.24</v>
      </c>
      <c r="CZ9" s="27">
        <f>AF9</f>
        <v>56.24</v>
      </c>
      <c r="DA9" s="27">
        <f>AJ9</f>
        <v>1</v>
      </c>
      <c r="DB9" s="27">
        <f>ROUND(ROUND(AT9*CZ9,2),6)</f>
        <v>1.69</v>
      </c>
      <c r="DC9" s="27">
        <f>ROUND(ROUND(AT9*AG9,2),6)</f>
        <v>0</v>
      </c>
    </row>
    <row r="10" spans="1:107" x14ac:dyDescent="0.2">
      <c r="A10" s="27">
        <f>ROW(Source!A28)</f>
        <v>28</v>
      </c>
      <c r="B10" s="27">
        <v>34787475</v>
      </c>
      <c r="C10" s="27">
        <v>34787487</v>
      </c>
      <c r="D10" s="27">
        <v>17725491</v>
      </c>
      <c r="E10" s="27">
        <v>1</v>
      </c>
      <c r="F10" s="27">
        <v>1</v>
      </c>
      <c r="G10" s="27">
        <v>1</v>
      </c>
      <c r="H10" s="27">
        <v>3</v>
      </c>
      <c r="I10" s="27" t="s">
        <v>347</v>
      </c>
      <c r="J10" s="27" t="s">
        <v>346</v>
      </c>
      <c r="K10" s="27" t="s">
        <v>345</v>
      </c>
      <c r="L10" s="27">
        <v>1348</v>
      </c>
      <c r="N10" s="27">
        <v>1009</v>
      </c>
      <c r="O10" s="27" t="s">
        <v>267</v>
      </c>
      <c r="P10" s="27" t="s">
        <v>267</v>
      </c>
      <c r="Q10" s="27">
        <v>1000</v>
      </c>
      <c r="W10" s="27">
        <v>0</v>
      </c>
      <c r="X10" s="27">
        <v>-1334170065</v>
      </c>
      <c r="Y10" s="27">
        <v>1.0000000000000001E-5</v>
      </c>
      <c r="AA10" s="27">
        <v>6667</v>
      </c>
      <c r="AB10" s="27">
        <v>0</v>
      </c>
      <c r="AC10" s="27">
        <v>0</v>
      </c>
      <c r="AD10" s="27">
        <v>0</v>
      </c>
      <c r="AE10" s="27">
        <v>6667</v>
      </c>
      <c r="AF10" s="27">
        <v>0</v>
      </c>
      <c r="AG10" s="27">
        <v>0</v>
      </c>
      <c r="AH10" s="27">
        <v>0</v>
      </c>
      <c r="AI10" s="27">
        <v>1</v>
      </c>
      <c r="AJ10" s="27">
        <v>1</v>
      </c>
      <c r="AK10" s="27">
        <v>1</v>
      </c>
      <c r="AL10" s="27">
        <v>1</v>
      </c>
      <c r="AN10" s="27">
        <v>0</v>
      </c>
      <c r="AO10" s="27">
        <v>1</v>
      </c>
      <c r="AP10" s="27">
        <v>0</v>
      </c>
      <c r="AQ10" s="27">
        <v>0</v>
      </c>
      <c r="AR10" s="27">
        <v>0</v>
      </c>
      <c r="AS10" s="27" t="s">
        <v>74</v>
      </c>
      <c r="AT10" s="27">
        <v>1.0000000000000001E-5</v>
      </c>
      <c r="AU10" s="27" t="s">
        <v>74</v>
      </c>
      <c r="AV10" s="27">
        <v>0</v>
      </c>
      <c r="AW10" s="27">
        <v>2</v>
      </c>
      <c r="AX10" s="27">
        <v>34787497</v>
      </c>
      <c r="AY10" s="27">
        <v>1</v>
      </c>
      <c r="AZ10" s="27">
        <v>0</v>
      </c>
      <c r="BA10" s="27">
        <v>10</v>
      </c>
      <c r="BB10" s="27">
        <v>0</v>
      </c>
      <c r="BC10" s="27">
        <v>0</v>
      </c>
      <c r="BD10" s="27">
        <v>0</v>
      </c>
      <c r="BE10" s="27">
        <v>0</v>
      </c>
      <c r="BF10" s="27">
        <v>0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7">
        <v>0</v>
      </c>
      <c r="BN10" s="27">
        <v>0</v>
      </c>
      <c r="BO10" s="27">
        <v>0</v>
      </c>
      <c r="BP10" s="27">
        <v>0</v>
      </c>
      <c r="BQ10" s="27">
        <v>0</v>
      </c>
      <c r="BR10" s="27">
        <v>0</v>
      </c>
      <c r="BS10" s="27">
        <v>0</v>
      </c>
      <c r="BT10" s="27">
        <v>0</v>
      </c>
      <c r="BU10" s="27">
        <v>0</v>
      </c>
      <c r="BV10" s="27">
        <v>0</v>
      </c>
      <c r="BW10" s="27">
        <v>0</v>
      </c>
      <c r="CX10" s="27">
        <f>Y10*Source!I28</f>
        <v>1.0000000000000001E-5</v>
      </c>
      <c r="CY10" s="27">
        <f>AA10</f>
        <v>6667</v>
      </c>
      <c r="CZ10" s="27">
        <f>AE10</f>
        <v>6667</v>
      </c>
      <c r="DA10" s="27">
        <f>AI10</f>
        <v>1</v>
      </c>
      <c r="DB10" s="27">
        <f>ROUND(ROUND(AT10*CZ10,2),6)</f>
        <v>7.0000000000000007E-2</v>
      </c>
      <c r="DC10" s="27">
        <f>ROUND(ROUND(AT10*AG10,2),6)</f>
        <v>0</v>
      </c>
    </row>
    <row r="11" spans="1:107" x14ac:dyDescent="0.2">
      <c r="A11" s="27">
        <f>ROW(Source!A28)</f>
        <v>28</v>
      </c>
      <c r="B11" s="27">
        <v>34787475</v>
      </c>
      <c r="C11" s="27">
        <v>34787487</v>
      </c>
      <c r="D11" s="27">
        <v>17725873</v>
      </c>
      <c r="E11" s="27">
        <v>1</v>
      </c>
      <c r="F11" s="27">
        <v>1</v>
      </c>
      <c r="G11" s="27">
        <v>1</v>
      </c>
      <c r="H11" s="27">
        <v>3</v>
      </c>
      <c r="I11" s="27" t="s">
        <v>344</v>
      </c>
      <c r="J11" s="27" t="s">
        <v>343</v>
      </c>
      <c r="K11" s="27" t="s">
        <v>342</v>
      </c>
      <c r="L11" s="27">
        <v>1348</v>
      </c>
      <c r="N11" s="27">
        <v>1009</v>
      </c>
      <c r="O11" s="27" t="s">
        <v>267</v>
      </c>
      <c r="P11" s="27" t="s">
        <v>267</v>
      </c>
      <c r="Q11" s="27">
        <v>1000</v>
      </c>
      <c r="W11" s="27">
        <v>0</v>
      </c>
      <c r="X11" s="27">
        <v>260292807</v>
      </c>
      <c r="Y11" s="27">
        <v>4.0000000000000003E-5</v>
      </c>
      <c r="AA11" s="27">
        <v>10315</v>
      </c>
      <c r="AB11" s="27">
        <v>0</v>
      </c>
      <c r="AC11" s="27">
        <v>0</v>
      </c>
      <c r="AD11" s="27">
        <v>0</v>
      </c>
      <c r="AE11" s="27">
        <v>10315</v>
      </c>
      <c r="AF11" s="27">
        <v>0</v>
      </c>
      <c r="AG11" s="27">
        <v>0</v>
      </c>
      <c r="AH11" s="27">
        <v>0</v>
      </c>
      <c r="AI11" s="27">
        <v>1</v>
      </c>
      <c r="AJ11" s="27">
        <v>1</v>
      </c>
      <c r="AK11" s="27">
        <v>1</v>
      </c>
      <c r="AL11" s="27">
        <v>1</v>
      </c>
      <c r="AN11" s="27">
        <v>0</v>
      </c>
      <c r="AO11" s="27">
        <v>1</v>
      </c>
      <c r="AP11" s="27">
        <v>0</v>
      </c>
      <c r="AQ11" s="27">
        <v>0</v>
      </c>
      <c r="AR11" s="27">
        <v>0</v>
      </c>
      <c r="AS11" s="27" t="s">
        <v>74</v>
      </c>
      <c r="AT11" s="27">
        <v>4.0000000000000003E-5</v>
      </c>
      <c r="AU11" s="27" t="s">
        <v>74</v>
      </c>
      <c r="AV11" s="27">
        <v>0</v>
      </c>
      <c r="AW11" s="27">
        <v>2</v>
      </c>
      <c r="AX11" s="27">
        <v>34787498</v>
      </c>
      <c r="AY11" s="27">
        <v>1</v>
      </c>
      <c r="AZ11" s="27">
        <v>0</v>
      </c>
      <c r="BA11" s="27">
        <v>11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0</v>
      </c>
      <c r="BM11" s="27">
        <v>0</v>
      </c>
      <c r="BN11" s="27">
        <v>0</v>
      </c>
      <c r="BO11" s="27">
        <v>0</v>
      </c>
      <c r="BP11" s="27">
        <v>0</v>
      </c>
      <c r="BQ11" s="27">
        <v>0</v>
      </c>
      <c r="BR11" s="27">
        <v>0</v>
      </c>
      <c r="BS11" s="27">
        <v>0</v>
      </c>
      <c r="BT11" s="27">
        <v>0</v>
      </c>
      <c r="BU11" s="27">
        <v>0</v>
      </c>
      <c r="BV11" s="27">
        <v>0</v>
      </c>
      <c r="BW11" s="27">
        <v>0</v>
      </c>
      <c r="CX11" s="27">
        <f>Y11*Source!I28</f>
        <v>4.0000000000000003E-5</v>
      </c>
      <c r="CY11" s="27">
        <f>AA11</f>
        <v>10315</v>
      </c>
      <c r="CZ11" s="27">
        <f>AE11</f>
        <v>10315</v>
      </c>
      <c r="DA11" s="27">
        <f>AI11</f>
        <v>1</v>
      </c>
      <c r="DB11" s="27">
        <f>ROUND(ROUND(AT11*CZ11,2),6)</f>
        <v>0.41</v>
      </c>
      <c r="DC11" s="27">
        <f>ROUND(ROUND(AT11*AG11,2),6)</f>
        <v>0</v>
      </c>
    </row>
    <row r="12" spans="1:107" x14ac:dyDescent="0.2">
      <c r="A12" s="27">
        <f>ROW(Source!A28)</f>
        <v>28</v>
      </c>
      <c r="B12" s="27">
        <v>34787475</v>
      </c>
      <c r="C12" s="27">
        <v>34787487</v>
      </c>
      <c r="D12" s="27">
        <v>17726580</v>
      </c>
      <c r="E12" s="27">
        <v>1</v>
      </c>
      <c r="F12" s="27">
        <v>1</v>
      </c>
      <c r="G12" s="27">
        <v>1</v>
      </c>
      <c r="H12" s="27">
        <v>3</v>
      </c>
      <c r="I12" s="27" t="s">
        <v>341</v>
      </c>
      <c r="J12" s="27" t="s">
        <v>340</v>
      </c>
      <c r="K12" s="27" t="s">
        <v>339</v>
      </c>
      <c r="L12" s="27">
        <v>1346</v>
      </c>
      <c r="N12" s="27">
        <v>1009</v>
      </c>
      <c r="O12" s="27" t="s">
        <v>274</v>
      </c>
      <c r="P12" s="27" t="s">
        <v>274</v>
      </c>
      <c r="Q12" s="27">
        <v>1</v>
      </c>
      <c r="W12" s="27">
        <v>0</v>
      </c>
      <c r="X12" s="27">
        <v>-1355286116</v>
      </c>
      <c r="Y12" s="27">
        <v>0.01</v>
      </c>
      <c r="AA12" s="27">
        <v>28.22</v>
      </c>
      <c r="AB12" s="27">
        <v>0</v>
      </c>
      <c r="AC12" s="27">
        <v>0</v>
      </c>
      <c r="AD12" s="27">
        <v>0</v>
      </c>
      <c r="AE12" s="27">
        <v>28.22</v>
      </c>
      <c r="AF12" s="27">
        <v>0</v>
      </c>
      <c r="AG12" s="27">
        <v>0</v>
      </c>
      <c r="AH12" s="27">
        <v>0</v>
      </c>
      <c r="AI12" s="27">
        <v>1</v>
      </c>
      <c r="AJ12" s="27">
        <v>1</v>
      </c>
      <c r="AK12" s="27">
        <v>1</v>
      </c>
      <c r="AL12" s="27">
        <v>1</v>
      </c>
      <c r="AN12" s="27">
        <v>0</v>
      </c>
      <c r="AO12" s="27">
        <v>1</v>
      </c>
      <c r="AP12" s="27">
        <v>0</v>
      </c>
      <c r="AQ12" s="27">
        <v>0</v>
      </c>
      <c r="AR12" s="27">
        <v>0</v>
      </c>
      <c r="AS12" s="27" t="s">
        <v>74</v>
      </c>
      <c r="AT12" s="27">
        <v>0.01</v>
      </c>
      <c r="AU12" s="27" t="s">
        <v>74</v>
      </c>
      <c r="AV12" s="27">
        <v>0</v>
      </c>
      <c r="AW12" s="27">
        <v>2</v>
      </c>
      <c r="AX12" s="27">
        <v>34787499</v>
      </c>
      <c r="AY12" s="27">
        <v>1</v>
      </c>
      <c r="AZ12" s="27">
        <v>0</v>
      </c>
      <c r="BA12" s="27">
        <v>12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0</v>
      </c>
      <c r="BJ12" s="27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7">
        <v>0</v>
      </c>
      <c r="BU12" s="27">
        <v>0</v>
      </c>
      <c r="BV12" s="27">
        <v>0</v>
      </c>
      <c r="BW12" s="27">
        <v>0</v>
      </c>
      <c r="CX12" s="27">
        <f>Y12*Source!I28</f>
        <v>0.01</v>
      </c>
      <c r="CY12" s="27">
        <f>AA12</f>
        <v>28.22</v>
      </c>
      <c r="CZ12" s="27">
        <f>AE12</f>
        <v>28.22</v>
      </c>
      <c r="DA12" s="27">
        <f>AI12</f>
        <v>1</v>
      </c>
      <c r="DB12" s="27">
        <f>ROUND(ROUND(AT12*CZ12,2),6)</f>
        <v>0.28000000000000003</v>
      </c>
      <c r="DC12" s="27">
        <f>ROUND(ROUND(AT12*AG12,2),6)</f>
        <v>0</v>
      </c>
    </row>
    <row r="13" spans="1:107" x14ac:dyDescent="0.2">
      <c r="A13" s="27">
        <f>ROW(Source!A28)</f>
        <v>28</v>
      </c>
      <c r="B13" s="27">
        <v>34787475</v>
      </c>
      <c r="C13" s="27">
        <v>34787487</v>
      </c>
      <c r="D13" s="27">
        <v>17726799</v>
      </c>
      <c r="E13" s="27">
        <v>1</v>
      </c>
      <c r="F13" s="27">
        <v>1</v>
      </c>
      <c r="G13" s="27">
        <v>1</v>
      </c>
      <c r="H13" s="27">
        <v>3</v>
      </c>
      <c r="I13" s="27" t="s">
        <v>338</v>
      </c>
      <c r="J13" s="27" t="s">
        <v>337</v>
      </c>
      <c r="K13" s="27" t="s">
        <v>336</v>
      </c>
      <c r="L13" s="27">
        <v>1358</v>
      </c>
      <c r="N13" s="27">
        <v>1010</v>
      </c>
      <c r="O13" s="27" t="s">
        <v>335</v>
      </c>
      <c r="P13" s="27" t="s">
        <v>335</v>
      </c>
      <c r="Q13" s="27">
        <v>10</v>
      </c>
      <c r="W13" s="27">
        <v>0</v>
      </c>
      <c r="X13" s="27">
        <v>-1094428015</v>
      </c>
      <c r="Y13" s="27">
        <v>0.2</v>
      </c>
      <c r="AA13" s="27">
        <v>2.66</v>
      </c>
      <c r="AB13" s="27">
        <v>0</v>
      </c>
      <c r="AC13" s="27">
        <v>0</v>
      </c>
      <c r="AD13" s="27">
        <v>0</v>
      </c>
      <c r="AE13" s="27">
        <v>2.66</v>
      </c>
      <c r="AF13" s="27">
        <v>0</v>
      </c>
      <c r="AG13" s="27">
        <v>0</v>
      </c>
      <c r="AH13" s="27">
        <v>0</v>
      </c>
      <c r="AI13" s="27">
        <v>1</v>
      </c>
      <c r="AJ13" s="27">
        <v>1</v>
      </c>
      <c r="AK13" s="27">
        <v>1</v>
      </c>
      <c r="AL13" s="27">
        <v>1</v>
      </c>
      <c r="AN13" s="27">
        <v>0</v>
      </c>
      <c r="AO13" s="27">
        <v>1</v>
      </c>
      <c r="AP13" s="27">
        <v>0</v>
      </c>
      <c r="AQ13" s="27">
        <v>0</v>
      </c>
      <c r="AR13" s="27">
        <v>0</v>
      </c>
      <c r="AS13" s="27" t="s">
        <v>74</v>
      </c>
      <c r="AT13" s="27">
        <v>0.2</v>
      </c>
      <c r="AU13" s="27" t="s">
        <v>74</v>
      </c>
      <c r="AV13" s="27">
        <v>0</v>
      </c>
      <c r="AW13" s="27">
        <v>2</v>
      </c>
      <c r="AX13" s="27">
        <v>34787500</v>
      </c>
      <c r="AY13" s="27">
        <v>1</v>
      </c>
      <c r="AZ13" s="27">
        <v>0</v>
      </c>
      <c r="BA13" s="27">
        <v>13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7">
        <v>0</v>
      </c>
      <c r="BK13" s="27">
        <v>0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0</v>
      </c>
      <c r="BT13" s="27">
        <v>0</v>
      </c>
      <c r="BU13" s="27">
        <v>0</v>
      </c>
      <c r="BV13" s="27">
        <v>0</v>
      </c>
      <c r="BW13" s="27">
        <v>0</v>
      </c>
      <c r="CX13" s="27">
        <f>Y13*Source!I28</f>
        <v>0.2</v>
      </c>
      <c r="CY13" s="27">
        <f>AA13</f>
        <v>2.66</v>
      </c>
      <c r="CZ13" s="27">
        <f>AE13</f>
        <v>2.66</v>
      </c>
      <c r="DA13" s="27">
        <f>AI13</f>
        <v>1</v>
      </c>
      <c r="DB13" s="27">
        <f>ROUND(ROUND(AT13*CZ13,2),6)</f>
        <v>0.53</v>
      </c>
      <c r="DC13" s="27">
        <f>ROUND(ROUND(AT13*AG13,2),6)</f>
        <v>0</v>
      </c>
    </row>
    <row r="14" spans="1:107" x14ac:dyDescent="0.2">
      <c r="A14" s="27">
        <f>ROW(Source!A28)</f>
        <v>28</v>
      </c>
      <c r="B14" s="27">
        <v>34787475</v>
      </c>
      <c r="C14" s="27">
        <v>34787487</v>
      </c>
      <c r="D14" s="27">
        <v>17726810</v>
      </c>
      <c r="E14" s="27">
        <v>1</v>
      </c>
      <c r="F14" s="27">
        <v>1</v>
      </c>
      <c r="G14" s="27">
        <v>1</v>
      </c>
      <c r="H14" s="27">
        <v>3</v>
      </c>
      <c r="I14" s="27" t="s">
        <v>334</v>
      </c>
      <c r="J14" s="27" t="s">
        <v>333</v>
      </c>
      <c r="K14" s="27" t="s">
        <v>332</v>
      </c>
      <c r="L14" s="27">
        <v>1348</v>
      </c>
      <c r="N14" s="27">
        <v>1009</v>
      </c>
      <c r="O14" s="27" t="s">
        <v>267</v>
      </c>
      <c r="P14" s="27" t="s">
        <v>267</v>
      </c>
      <c r="Q14" s="27">
        <v>1000</v>
      </c>
      <c r="W14" s="27">
        <v>0</v>
      </c>
      <c r="X14" s="27">
        <v>381185621</v>
      </c>
      <c r="Y14" s="27">
        <v>1E-3</v>
      </c>
      <c r="AA14" s="27">
        <v>5941.89</v>
      </c>
      <c r="AB14" s="27">
        <v>0</v>
      </c>
      <c r="AC14" s="27">
        <v>0</v>
      </c>
      <c r="AD14" s="27">
        <v>0</v>
      </c>
      <c r="AE14" s="27">
        <v>5941.89</v>
      </c>
      <c r="AF14" s="27">
        <v>0</v>
      </c>
      <c r="AG14" s="27">
        <v>0</v>
      </c>
      <c r="AH14" s="27">
        <v>0</v>
      </c>
      <c r="AI14" s="27">
        <v>1</v>
      </c>
      <c r="AJ14" s="27">
        <v>1</v>
      </c>
      <c r="AK14" s="27">
        <v>1</v>
      </c>
      <c r="AL14" s="27">
        <v>1</v>
      </c>
      <c r="AN14" s="27">
        <v>0</v>
      </c>
      <c r="AO14" s="27">
        <v>1</v>
      </c>
      <c r="AP14" s="27">
        <v>0</v>
      </c>
      <c r="AQ14" s="27">
        <v>0</v>
      </c>
      <c r="AR14" s="27">
        <v>0</v>
      </c>
      <c r="AS14" s="27" t="s">
        <v>74</v>
      </c>
      <c r="AT14" s="27">
        <v>1E-3</v>
      </c>
      <c r="AU14" s="27" t="s">
        <v>74</v>
      </c>
      <c r="AV14" s="27">
        <v>0</v>
      </c>
      <c r="AW14" s="27">
        <v>2</v>
      </c>
      <c r="AX14" s="27">
        <v>34787501</v>
      </c>
      <c r="AY14" s="27">
        <v>1</v>
      </c>
      <c r="AZ14" s="27">
        <v>0</v>
      </c>
      <c r="BA14" s="27">
        <v>14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0</v>
      </c>
      <c r="BT14" s="27">
        <v>0</v>
      </c>
      <c r="BU14" s="27">
        <v>0</v>
      </c>
      <c r="BV14" s="27">
        <v>0</v>
      </c>
      <c r="BW14" s="27">
        <v>0</v>
      </c>
      <c r="CX14" s="27">
        <f>Y14*Source!I28</f>
        <v>1E-3</v>
      </c>
      <c r="CY14" s="27">
        <f>AA14</f>
        <v>5941.89</v>
      </c>
      <c r="CZ14" s="27">
        <f>AE14</f>
        <v>5941.89</v>
      </c>
      <c r="DA14" s="27">
        <f>AI14</f>
        <v>1</v>
      </c>
      <c r="DB14" s="27">
        <f>ROUND(ROUND(AT14*CZ14,2),6)</f>
        <v>5.94</v>
      </c>
      <c r="DC14" s="27">
        <f>ROUND(ROUND(AT14*AG14,2),6)</f>
        <v>0</v>
      </c>
    </row>
    <row r="15" spans="1:107" x14ac:dyDescent="0.2">
      <c r="A15" s="27">
        <f>ROW(Source!A28)</f>
        <v>28</v>
      </c>
      <c r="B15" s="27">
        <v>34787475</v>
      </c>
      <c r="C15" s="27">
        <v>34787487</v>
      </c>
      <c r="D15" s="27">
        <v>17726864</v>
      </c>
      <c r="E15" s="27">
        <v>1</v>
      </c>
      <c r="F15" s="27">
        <v>1</v>
      </c>
      <c r="G15" s="27">
        <v>1</v>
      </c>
      <c r="H15" s="27">
        <v>3</v>
      </c>
      <c r="I15" s="27" t="s">
        <v>331</v>
      </c>
      <c r="J15" s="27" t="s">
        <v>330</v>
      </c>
      <c r="K15" s="27" t="s">
        <v>329</v>
      </c>
      <c r="L15" s="27">
        <v>1301</v>
      </c>
      <c r="N15" s="27">
        <v>1003</v>
      </c>
      <c r="O15" s="27" t="s">
        <v>328</v>
      </c>
      <c r="P15" s="27" t="s">
        <v>328</v>
      </c>
      <c r="Q15" s="27">
        <v>1</v>
      </c>
      <c r="W15" s="27">
        <v>0</v>
      </c>
      <c r="X15" s="27">
        <v>-101388930</v>
      </c>
      <c r="Y15" s="27">
        <v>0.95</v>
      </c>
      <c r="AA15" s="27">
        <v>15.13</v>
      </c>
      <c r="AB15" s="27">
        <v>0</v>
      </c>
      <c r="AC15" s="27">
        <v>0</v>
      </c>
      <c r="AD15" s="27">
        <v>0</v>
      </c>
      <c r="AE15" s="27">
        <v>15.13</v>
      </c>
      <c r="AF15" s="27">
        <v>0</v>
      </c>
      <c r="AG15" s="27">
        <v>0</v>
      </c>
      <c r="AH15" s="27">
        <v>0</v>
      </c>
      <c r="AI15" s="27">
        <v>1</v>
      </c>
      <c r="AJ15" s="27">
        <v>1</v>
      </c>
      <c r="AK15" s="27">
        <v>1</v>
      </c>
      <c r="AL15" s="27">
        <v>1</v>
      </c>
      <c r="AN15" s="27">
        <v>0</v>
      </c>
      <c r="AO15" s="27">
        <v>1</v>
      </c>
      <c r="AP15" s="27">
        <v>0</v>
      </c>
      <c r="AQ15" s="27">
        <v>0</v>
      </c>
      <c r="AR15" s="27">
        <v>0</v>
      </c>
      <c r="AS15" s="27" t="s">
        <v>74</v>
      </c>
      <c r="AT15" s="27">
        <v>0.95</v>
      </c>
      <c r="AU15" s="27" t="s">
        <v>74</v>
      </c>
      <c r="AV15" s="27">
        <v>0</v>
      </c>
      <c r="AW15" s="27">
        <v>2</v>
      </c>
      <c r="AX15" s="27">
        <v>34787502</v>
      </c>
      <c r="AY15" s="27">
        <v>1</v>
      </c>
      <c r="AZ15" s="27">
        <v>0</v>
      </c>
      <c r="BA15" s="27">
        <v>15</v>
      </c>
      <c r="BB15" s="27">
        <v>0</v>
      </c>
      <c r="BC15" s="27">
        <v>0</v>
      </c>
      <c r="BD15" s="27">
        <v>0</v>
      </c>
      <c r="BE15" s="27">
        <v>0</v>
      </c>
      <c r="BF15" s="27">
        <v>0</v>
      </c>
      <c r="BG15" s="27">
        <v>0</v>
      </c>
      <c r="BH15" s="27">
        <v>0</v>
      </c>
      <c r="BI15" s="27">
        <v>0</v>
      </c>
      <c r="BJ15" s="27">
        <v>0</v>
      </c>
      <c r="BK15" s="27">
        <v>0</v>
      </c>
      <c r="BL15" s="27">
        <v>0</v>
      </c>
      <c r="BM15" s="27">
        <v>0</v>
      </c>
      <c r="BN15" s="27">
        <v>0</v>
      </c>
      <c r="BO15" s="27">
        <v>0</v>
      </c>
      <c r="BP15" s="27">
        <v>0</v>
      </c>
      <c r="BQ15" s="27">
        <v>0</v>
      </c>
      <c r="BR15" s="27">
        <v>0</v>
      </c>
      <c r="BS15" s="27">
        <v>0</v>
      </c>
      <c r="BT15" s="27">
        <v>0</v>
      </c>
      <c r="BU15" s="27">
        <v>0</v>
      </c>
      <c r="BV15" s="27">
        <v>0</v>
      </c>
      <c r="BW15" s="27">
        <v>0</v>
      </c>
      <c r="CX15" s="27">
        <f>Y15*Source!I28</f>
        <v>0.95</v>
      </c>
      <c r="CY15" s="27">
        <f>AA15</f>
        <v>15.13</v>
      </c>
      <c r="CZ15" s="27">
        <f>AE15</f>
        <v>15.13</v>
      </c>
      <c r="DA15" s="27">
        <f>AI15</f>
        <v>1</v>
      </c>
      <c r="DB15" s="27">
        <f>ROUND(ROUND(AT15*CZ15,2),6)</f>
        <v>14.37</v>
      </c>
      <c r="DC15" s="27">
        <f>ROUND(ROUND(AT15*AG15,2),6)</f>
        <v>0</v>
      </c>
    </row>
    <row r="16" spans="1:107" x14ac:dyDescent="0.2">
      <c r="A16" s="27">
        <f>ROW(Source!A28)</f>
        <v>28</v>
      </c>
      <c r="B16" s="27">
        <v>34787475</v>
      </c>
      <c r="C16" s="27">
        <v>34787487</v>
      </c>
      <c r="D16" s="27">
        <v>17727163</v>
      </c>
      <c r="E16" s="27">
        <v>1</v>
      </c>
      <c r="F16" s="27">
        <v>1</v>
      </c>
      <c r="G16" s="27">
        <v>1</v>
      </c>
      <c r="H16" s="27">
        <v>3</v>
      </c>
      <c r="I16" s="27" t="s">
        <v>327</v>
      </c>
      <c r="J16" s="27" t="s">
        <v>326</v>
      </c>
      <c r="K16" s="27" t="s">
        <v>325</v>
      </c>
      <c r="L16" s="27">
        <v>1348</v>
      </c>
      <c r="N16" s="27">
        <v>1009</v>
      </c>
      <c r="O16" s="27" t="s">
        <v>267</v>
      </c>
      <c r="P16" s="27" t="s">
        <v>267</v>
      </c>
      <c r="Q16" s="27">
        <v>1000</v>
      </c>
      <c r="W16" s="27">
        <v>0</v>
      </c>
      <c r="X16" s="27">
        <v>461973142</v>
      </c>
      <c r="Y16" s="27">
        <v>2.0000000000000002E-5</v>
      </c>
      <c r="AA16" s="27">
        <v>9420</v>
      </c>
      <c r="AB16" s="27">
        <v>0</v>
      </c>
      <c r="AC16" s="27">
        <v>0</v>
      </c>
      <c r="AD16" s="27">
        <v>0</v>
      </c>
      <c r="AE16" s="27">
        <v>9420</v>
      </c>
      <c r="AF16" s="27">
        <v>0</v>
      </c>
      <c r="AG16" s="27">
        <v>0</v>
      </c>
      <c r="AH16" s="27">
        <v>0</v>
      </c>
      <c r="AI16" s="27">
        <v>1</v>
      </c>
      <c r="AJ16" s="27">
        <v>1</v>
      </c>
      <c r="AK16" s="27">
        <v>1</v>
      </c>
      <c r="AL16" s="27">
        <v>1</v>
      </c>
      <c r="AN16" s="27">
        <v>0</v>
      </c>
      <c r="AO16" s="27">
        <v>1</v>
      </c>
      <c r="AP16" s="27">
        <v>0</v>
      </c>
      <c r="AQ16" s="27">
        <v>0</v>
      </c>
      <c r="AR16" s="27">
        <v>0</v>
      </c>
      <c r="AS16" s="27" t="s">
        <v>74</v>
      </c>
      <c r="AT16" s="27">
        <v>2.0000000000000002E-5</v>
      </c>
      <c r="AU16" s="27" t="s">
        <v>74</v>
      </c>
      <c r="AV16" s="27">
        <v>0</v>
      </c>
      <c r="AW16" s="27">
        <v>2</v>
      </c>
      <c r="AX16" s="27">
        <v>34787503</v>
      </c>
      <c r="AY16" s="27">
        <v>1</v>
      </c>
      <c r="AZ16" s="27">
        <v>0</v>
      </c>
      <c r="BA16" s="27">
        <v>16</v>
      </c>
      <c r="BB16" s="27">
        <v>0</v>
      </c>
      <c r="BC16" s="27">
        <v>0</v>
      </c>
      <c r="BD16" s="27">
        <v>0</v>
      </c>
      <c r="BE16" s="27">
        <v>0</v>
      </c>
      <c r="BF16" s="27">
        <v>0</v>
      </c>
      <c r="BG16" s="27">
        <v>0</v>
      </c>
      <c r="BH16" s="27">
        <v>0</v>
      </c>
      <c r="BI16" s="27">
        <v>0</v>
      </c>
      <c r="BJ16" s="27">
        <v>0</v>
      </c>
      <c r="BK16" s="27">
        <v>0</v>
      </c>
      <c r="BL16" s="27">
        <v>0</v>
      </c>
      <c r="BM16" s="27">
        <v>0</v>
      </c>
      <c r="BN16" s="27">
        <v>0</v>
      </c>
      <c r="BO16" s="27">
        <v>0</v>
      </c>
      <c r="BP16" s="27">
        <v>0</v>
      </c>
      <c r="BQ16" s="27">
        <v>0</v>
      </c>
      <c r="BR16" s="27">
        <v>0</v>
      </c>
      <c r="BS16" s="27">
        <v>0</v>
      </c>
      <c r="BT16" s="27">
        <v>0</v>
      </c>
      <c r="BU16" s="27">
        <v>0</v>
      </c>
      <c r="BV16" s="27">
        <v>0</v>
      </c>
      <c r="BW16" s="27">
        <v>0</v>
      </c>
      <c r="CX16" s="27">
        <f>Y16*Source!I28</f>
        <v>2.0000000000000002E-5</v>
      </c>
      <c r="CY16" s="27">
        <f>AA16</f>
        <v>9420</v>
      </c>
      <c r="CZ16" s="27">
        <f>AE16</f>
        <v>9420</v>
      </c>
      <c r="DA16" s="27">
        <f>AI16</f>
        <v>1</v>
      </c>
      <c r="DB16" s="27">
        <f>ROUND(ROUND(AT16*CZ16,2),6)</f>
        <v>0.19</v>
      </c>
      <c r="DC16" s="27">
        <f>ROUND(ROUND(AT16*AG16,2),6)</f>
        <v>0</v>
      </c>
    </row>
    <row r="17" spans="1:107" x14ac:dyDescent="0.2">
      <c r="A17" s="27">
        <f>ROW(Source!A28)</f>
        <v>28</v>
      </c>
      <c r="B17" s="27">
        <v>34787475</v>
      </c>
      <c r="C17" s="27">
        <v>34787487</v>
      </c>
      <c r="D17" s="27">
        <v>17804846</v>
      </c>
      <c r="E17" s="27">
        <v>1</v>
      </c>
      <c r="F17" s="27">
        <v>1</v>
      </c>
      <c r="G17" s="27">
        <v>1</v>
      </c>
      <c r="H17" s="27">
        <v>3</v>
      </c>
      <c r="I17" s="27" t="s">
        <v>324</v>
      </c>
      <c r="J17" s="27" t="s">
        <v>323</v>
      </c>
      <c r="K17" s="27" t="s">
        <v>322</v>
      </c>
      <c r="L17" s="27">
        <v>1348</v>
      </c>
      <c r="N17" s="27">
        <v>1009</v>
      </c>
      <c r="O17" s="27" t="s">
        <v>267</v>
      </c>
      <c r="P17" s="27" t="s">
        <v>267</v>
      </c>
      <c r="Q17" s="27">
        <v>1000</v>
      </c>
      <c r="W17" s="27">
        <v>0</v>
      </c>
      <c r="X17" s="27">
        <v>445532923</v>
      </c>
      <c r="Y17" s="27">
        <v>3.0000000000000001E-5</v>
      </c>
      <c r="AA17" s="27">
        <v>15620</v>
      </c>
      <c r="AB17" s="27">
        <v>0</v>
      </c>
      <c r="AC17" s="27">
        <v>0</v>
      </c>
      <c r="AD17" s="27">
        <v>0</v>
      </c>
      <c r="AE17" s="27">
        <v>15620</v>
      </c>
      <c r="AF17" s="27">
        <v>0</v>
      </c>
      <c r="AG17" s="27">
        <v>0</v>
      </c>
      <c r="AH17" s="27">
        <v>0</v>
      </c>
      <c r="AI17" s="27">
        <v>1</v>
      </c>
      <c r="AJ17" s="27">
        <v>1</v>
      </c>
      <c r="AK17" s="27">
        <v>1</v>
      </c>
      <c r="AL17" s="27">
        <v>1</v>
      </c>
      <c r="AN17" s="27">
        <v>0</v>
      </c>
      <c r="AO17" s="27">
        <v>1</v>
      </c>
      <c r="AP17" s="27">
        <v>0</v>
      </c>
      <c r="AQ17" s="27">
        <v>0</v>
      </c>
      <c r="AR17" s="27">
        <v>0</v>
      </c>
      <c r="AS17" s="27" t="s">
        <v>74</v>
      </c>
      <c r="AT17" s="27">
        <v>3.0000000000000001E-5</v>
      </c>
      <c r="AU17" s="27" t="s">
        <v>74</v>
      </c>
      <c r="AV17" s="27">
        <v>0</v>
      </c>
      <c r="AW17" s="27">
        <v>2</v>
      </c>
      <c r="AX17" s="27">
        <v>34787504</v>
      </c>
      <c r="AY17" s="27">
        <v>1</v>
      </c>
      <c r="AZ17" s="27">
        <v>0</v>
      </c>
      <c r="BA17" s="27">
        <v>17</v>
      </c>
      <c r="BB17" s="27">
        <v>0</v>
      </c>
      <c r="BC17" s="27">
        <v>0</v>
      </c>
      <c r="BD17" s="27">
        <v>0</v>
      </c>
      <c r="BE17" s="27">
        <v>0</v>
      </c>
      <c r="BF17" s="27">
        <v>0</v>
      </c>
      <c r="BG17" s="27">
        <v>0</v>
      </c>
      <c r="BH17" s="27">
        <v>0</v>
      </c>
      <c r="BI17" s="27">
        <v>0</v>
      </c>
      <c r="BJ17" s="27">
        <v>0</v>
      </c>
      <c r="BK17" s="27">
        <v>0</v>
      </c>
      <c r="BL17" s="27">
        <v>0</v>
      </c>
      <c r="BM17" s="27">
        <v>0</v>
      </c>
      <c r="BN17" s="27">
        <v>0</v>
      </c>
      <c r="BO17" s="27">
        <v>0</v>
      </c>
      <c r="BP17" s="27">
        <v>0</v>
      </c>
      <c r="BQ17" s="27">
        <v>0</v>
      </c>
      <c r="BR17" s="27">
        <v>0</v>
      </c>
      <c r="BS17" s="27">
        <v>0</v>
      </c>
      <c r="BT17" s="27">
        <v>0</v>
      </c>
      <c r="BU17" s="27">
        <v>0</v>
      </c>
      <c r="BV17" s="27">
        <v>0</v>
      </c>
      <c r="BW17" s="27">
        <v>0</v>
      </c>
      <c r="CX17" s="27">
        <f>Y17*Source!I28</f>
        <v>3.0000000000000001E-5</v>
      </c>
      <c r="CY17" s="27">
        <f>AA17</f>
        <v>15620</v>
      </c>
      <c r="CZ17" s="27">
        <f>AE17</f>
        <v>15620</v>
      </c>
      <c r="DA17" s="27">
        <f>AI17</f>
        <v>1</v>
      </c>
      <c r="DB17" s="27">
        <f>ROUND(ROUND(AT17*CZ17,2),6)</f>
        <v>0.47</v>
      </c>
      <c r="DC17" s="27">
        <f>ROUND(ROUND(AT17*AG17,2),6)</f>
        <v>0</v>
      </c>
    </row>
    <row r="18" spans="1:107" x14ac:dyDescent="0.2">
      <c r="A18" s="27">
        <f>ROW(Source!A28)</f>
        <v>28</v>
      </c>
      <c r="B18" s="27">
        <v>34787475</v>
      </c>
      <c r="C18" s="27">
        <v>34787487</v>
      </c>
      <c r="D18" s="27">
        <v>17805155</v>
      </c>
      <c r="E18" s="27">
        <v>1</v>
      </c>
      <c r="F18" s="27">
        <v>1</v>
      </c>
      <c r="G18" s="27">
        <v>1</v>
      </c>
      <c r="H18" s="27">
        <v>3</v>
      </c>
      <c r="I18" s="27" t="s">
        <v>321</v>
      </c>
      <c r="J18" s="27" t="s">
        <v>320</v>
      </c>
      <c r="K18" s="27" t="s">
        <v>319</v>
      </c>
      <c r="L18" s="27">
        <v>1348</v>
      </c>
      <c r="N18" s="27">
        <v>1009</v>
      </c>
      <c r="O18" s="27" t="s">
        <v>267</v>
      </c>
      <c r="P18" s="27" t="s">
        <v>267</v>
      </c>
      <c r="Q18" s="27">
        <v>1000</v>
      </c>
      <c r="W18" s="27">
        <v>0</v>
      </c>
      <c r="X18" s="27">
        <v>347100919</v>
      </c>
      <c r="Y18" s="27">
        <v>3.0000000000000001E-5</v>
      </c>
      <c r="AA18" s="27">
        <v>28300.400000000001</v>
      </c>
      <c r="AB18" s="27">
        <v>0</v>
      </c>
      <c r="AC18" s="27">
        <v>0</v>
      </c>
      <c r="AD18" s="27">
        <v>0</v>
      </c>
      <c r="AE18" s="27">
        <v>28300.400000000001</v>
      </c>
      <c r="AF18" s="27">
        <v>0</v>
      </c>
      <c r="AG18" s="27">
        <v>0</v>
      </c>
      <c r="AH18" s="27">
        <v>0</v>
      </c>
      <c r="AI18" s="27">
        <v>1</v>
      </c>
      <c r="AJ18" s="27">
        <v>1</v>
      </c>
      <c r="AK18" s="27">
        <v>1</v>
      </c>
      <c r="AL18" s="27">
        <v>1</v>
      </c>
      <c r="AN18" s="27">
        <v>0</v>
      </c>
      <c r="AO18" s="27">
        <v>1</v>
      </c>
      <c r="AP18" s="27">
        <v>0</v>
      </c>
      <c r="AQ18" s="27">
        <v>0</v>
      </c>
      <c r="AR18" s="27">
        <v>0</v>
      </c>
      <c r="AS18" s="27" t="s">
        <v>74</v>
      </c>
      <c r="AT18" s="27">
        <v>3.0000000000000001E-5</v>
      </c>
      <c r="AU18" s="27" t="s">
        <v>74</v>
      </c>
      <c r="AV18" s="27">
        <v>0</v>
      </c>
      <c r="AW18" s="27">
        <v>2</v>
      </c>
      <c r="AX18" s="27">
        <v>34787505</v>
      </c>
      <c r="AY18" s="27">
        <v>1</v>
      </c>
      <c r="AZ18" s="27">
        <v>0</v>
      </c>
      <c r="BA18" s="27">
        <v>18</v>
      </c>
      <c r="BB18" s="27">
        <v>0</v>
      </c>
      <c r="BC18" s="27">
        <v>0</v>
      </c>
      <c r="BD18" s="27">
        <v>0</v>
      </c>
      <c r="BE18" s="27">
        <v>0</v>
      </c>
      <c r="BF18" s="27">
        <v>0</v>
      </c>
      <c r="BG18" s="27">
        <v>0</v>
      </c>
      <c r="BH18" s="27">
        <v>0</v>
      </c>
      <c r="BI18" s="27">
        <v>0</v>
      </c>
      <c r="BJ18" s="27">
        <v>0</v>
      </c>
      <c r="BK18" s="27">
        <v>0</v>
      </c>
      <c r="BL18" s="27">
        <v>0</v>
      </c>
      <c r="BM18" s="27">
        <v>0</v>
      </c>
      <c r="BN18" s="27">
        <v>0</v>
      </c>
      <c r="BO18" s="27">
        <v>0</v>
      </c>
      <c r="BP18" s="27">
        <v>0</v>
      </c>
      <c r="BQ18" s="27">
        <v>0</v>
      </c>
      <c r="BR18" s="27">
        <v>0</v>
      </c>
      <c r="BS18" s="27">
        <v>0</v>
      </c>
      <c r="BT18" s="27">
        <v>0</v>
      </c>
      <c r="BU18" s="27">
        <v>0</v>
      </c>
      <c r="BV18" s="27">
        <v>0</v>
      </c>
      <c r="BW18" s="27">
        <v>0</v>
      </c>
      <c r="CX18" s="27">
        <f>Y18*Source!I28</f>
        <v>3.0000000000000001E-5</v>
      </c>
      <c r="CY18" s="27">
        <f>AA18</f>
        <v>28300.400000000001</v>
      </c>
      <c r="CZ18" s="27">
        <f>AE18</f>
        <v>28300.400000000001</v>
      </c>
      <c r="DA18" s="27">
        <f>AI18</f>
        <v>1</v>
      </c>
      <c r="DB18" s="27">
        <f>ROUND(ROUND(AT18*CZ18,2),6)</f>
        <v>0.85</v>
      </c>
      <c r="DC18" s="27">
        <f>ROUND(ROUND(AT18*AG18,2),6)</f>
        <v>0</v>
      </c>
    </row>
    <row r="19" spans="1:107" x14ac:dyDescent="0.2">
      <c r="A19" s="27">
        <f>ROW(Source!A28)</f>
        <v>28</v>
      </c>
      <c r="B19" s="27">
        <v>34787475</v>
      </c>
      <c r="C19" s="27">
        <v>34787487</v>
      </c>
      <c r="D19" s="27">
        <v>17783655</v>
      </c>
      <c r="E19" s="27">
        <v>1</v>
      </c>
      <c r="F19" s="27">
        <v>1</v>
      </c>
      <c r="G19" s="27">
        <v>1</v>
      </c>
      <c r="H19" s="27">
        <v>3</v>
      </c>
      <c r="I19" s="27" t="s">
        <v>263</v>
      </c>
      <c r="J19" s="27" t="s">
        <v>318</v>
      </c>
      <c r="K19" s="27" t="s">
        <v>317</v>
      </c>
      <c r="L19" s="27">
        <v>13025062</v>
      </c>
      <c r="N19" s="27">
        <v>1009</v>
      </c>
      <c r="O19" s="27" t="s">
        <v>267</v>
      </c>
      <c r="P19" s="27" t="s">
        <v>316</v>
      </c>
      <c r="Q19" s="27">
        <v>1000</v>
      </c>
      <c r="W19" s="27">
        <v>0</v>
      </c>
      <c r="X19" s="27">
        <v>50172674</v>
      </c>
      <c r="Y19" s="27">
        <v>0.09</v>
      </c>
      <c r="AA19" s="27">
        <v>1</v>
      </c>
      <c r="AB19" s="27">
        <v>0</v>
      </c>
      <c r="AC19" s="27">
        <v>0</v>
      </c>
      <c r="AD19" s="27">
        <v>0</v>
      </c>
      <c r="AE19" s="27">
        <v>1</v>
      </c>
      <c r="AF19" s="27">
        <v>0</v>
      </c>
      <c r="AG19" s="27">
        <v>0</v>
      </c>
      <c r="AH19" s="27">
        <v>0</v>
      </c>
      <c r="AI19" s="27">
        <v>1</v>
      </c>
      <c r="AJ19" s="27">
        <v>1</v>
      </c>
      <c r="AK19" s="27">
        <v>1</v>
      </c>
      <c r="AL19" s="27">
        <v>1</v>
      </c>
      <c r="AN19" s="27">
        <v>0</v>
      </c>
      <c r="AO19" s="27">
        <v>1</v>
      </c>
      <c r="AP19" s="27">
        <v>0</v>
      </c>
      <c r="AQ19" s="27">
        <v>0</v>
      </c>
      <c r="AR19" s="27">
        <v>0</v>
      </c>
      <c r="AS19" s="27" t="s">
        <v>74</v>
      </c>
      <c r="AT19" s="27">
        <v>0.09</v>
      </c>
      <c r="AU19" s="27" t="s">
        <v>74</v>
      </c>
      <c r="AV19" s="27">
        <v>0</v>
      </c>
      <c r="AW19" s="27">
        <v>2</v>
      </c>
      <c r="AX19" s="27">
        <v>34787506</v>
      </c>
      <c r="AY19" s="27">
        <v>1</v>
      </c>
      <c r="AZ19" s="27">
        <v>0</v>
      </c>
      <c r="BA19" s="27">
        <v>19</v>
      </c>
      <c r="BB19" s="27">
        <v>0</v>
      </c>
      <c r="BC19" s="27">
        <v>0</v>
      </c>
      <c r="BD19" s="27">
        <v>0</v>
      </c>
      <c r="BE19" s="27">
        <v>0</v>
      </c>
      <c r="BF19" s="27">
        <v>0</v>
      </c>
      <c r="BG19" s="27">
        <v>0</v>
      </c>
      <c r="BH19" s="27">
        <v>0</v>
      </c>
      <c r="BI19" s="27">
        <v>0</v>
      </c>
      <c r="BJ19" s="27">
        <v>0</v>
      </c>
      <c r="BK19" s="27">
        <v>0</v>
      </c>
      <c r="BL19" s="27">
        <v>0</v>
      </c>
      <c r="BM19" s="27">
        <v>0</v>
      </c>
      <c r="BN19" s="27">
        <v>0</v>
      </c>
      <c r="BO19" s="27">
        <v>0</v>
      </c>
      <c r="BP19" s="27">
        <v>0</v>
      </c>
      <c r="BQ19" s="27">
        <v>0</v>
      </c>
      <c r="BR19" s="27">
        <v>0</v>
      </c>
      <c r="BS19" s="27">
        <v>0</v>
      </c>
      <c r="BT19" s="27">
        <v>0</v>
      </c>
      <c r="BU19" s="27">
        <v>0</v>
      </c>
      <c r="BV19" s="27">
        <v>0</v>
      </c>
      <c r="BW19" s="27">
        <v>0</v>
      </c>
      <c r="CX19" s="27">
        <f>Y19*Source!I28</f>
        <v>0.09</v>
      </c>
      <c r="CY19" s="27">
        <f>AA19</f>
        <v>1</v>
      </c>
      <c r="CZ19" s="27">
        <f>AE19</f>
        <v>1</v>
      </c>
      <c r="DA19" s="27">
        <f>AI19</f>
        <v>1</v>
      </c>
      <c r="DB19" s="27">
        <f>ROUND(ROUND(AT19*CZ19,2),6)</f>
        <v>0.09</v>
      </c>
      <c r="DC19" s="27">
        <f>ROUND(ROUND(AT19*AG19,2),6)</f>
        <v>0</v>
      </c>
    </row>
    <row r="20" spans="1:107" x14ac:dyDescent="0.2">
      <c r="A20" s="27">
        <f>ROW(Source!A29)</f>
        <v>29</v>
      </c>
      <c r="B20" s="27">
        <v>34787475</v>
      </c>
      <c r="C20" s="27">
        <v>34787507</v>
      </c>
      <c r="D20" s="27">
        <v>33084850</v>
      </c>
      <c r="E20" s="27">
        <v>66</v>
      </c>
      <c r="F20" s="27">
        <v>1</v>
      </c>
      <c r="G20" s="27">
        <v>1</v>
      </c>
      <c r="H20" s="27">
        <v>1</v>
      </c>
      <c r="I20" s="27" t="s">
        <v>315</v>
      </c>
      <c r="J20" s="27" t="s">
        <v>74</v>
      </c>
      <c r="K20" s="27" t="s">
        <v>314</v>
      </c>
      <c r="L20" s="27">
        <v>1191</v>
      </c>
      <c r="N20" s="27">
        <v>1013</v>
      </c>
      <c r="O20" s="27" t="s">
        <v>298</v>
      </c>
      <c r="P20" s="27" t="s">
        <v>298</v>
      </c>
      <c r="Q20" s="27">
        <v>1</v>
      </c>
      <c r="W20" s="27">
        <v>0</v>
      </c>
      <c r="X20" s="27">
        <v>-983457869</v>
      </c>
      <c r="Y20" s="27">
        <v>1.03</v>
      </c>
      <c r="AA20" s="27">
        <v>0</v>
      </c>
      <c r="AB20" s="27">
        <v>0</v>
      </c>
      <c r="AC20" s="27">
        <v>0</v>
      </c>
      <c r="AD20" s="27">
        <v>8.64</v>
      </c>
      <c r="AE20" s="27">
        <v>0</v>
      </c>
      <c r="AF20" s="27">
        <v>0</v>
      </c>
      <c r="AG20" s="27">
        <v>0</v>
      </c>
      <c r="AH20" s="27">
        <v>8.64</v>
      </c>
      <c r="AI20" s="27">
        <v>1</v>
      </c>
      <c r="AJ20" s="27">
        <v>1</v>
      </c>
      <c r="AK20" s="27">
        <v>1</v>
      </c>
      <c r="AL20" s="27">
        <v>1</v>
      </c>
      <c r="AN20" s="27">
        <v>0</v>
      </c>
      <c r="AO20" s="27">
        <v>1</v>
      </c>
      <c r="AP20" s="27">
        <v>0</v>
      </c>
      <c r="AQ20" s="27">
        <v>0</v>
      </c>
      <c r="AR20" s="27">
        <v>0</v>
      </c>
      <c r="AS20" s="27" t="s">
        <v>74</v>
      </c>
      <c r="AT20" s="27">
        <v>1.03</v>
      </c>
      <c r="AU20" s="27" t="s">
        <v>74</v>
      </c>
      <c r="AV20" s="27">
        <v>1</v>
      </c>
      <c r="AW20" s="27">
        <v>2</v>
      </c>
      <c r="AX20" s="27">
        <v>34787508</v>
      </c>
      <c r="AY20" s="27">
        <v>1</v>
      </c>
      <c r="AZ20" s="27">
        <v>0</v>
      </c>
      <c r="BA20" s="27">
        <v>20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27">
        <v>0</v>
      </c>
      <c r="BL20" s="27">
        <v>0</v>
      </c>
      <c r="BM20" s="27">
        <v>0</v>
      </c>
      <c r="BN20" s="27">
        <v>0</v>
      </c>
      <c r="BO20" s="27">
        <v>0</v>
      </c>
      <c r="BP20" s="27">
        <v>0</v>
      </c>
      <c r="BQ20" s="27">
        <v>0</v>
      </c>
      <c r="BR20" s="27">
        <v>0</v>
      </c>
      <c r="BS20" s="27">
        <v>0</v>
      </c>
      <c r="BT20" s="27">
        <v>0</v>
      </c>
      <c r="BU20" s="27">
        <v>0</v>
      </c>
      <c r="BV20" s="27">
        <v>0</v>
      </c>
      <c r="BW20" s="27">
        <v>0</v>
      </c>
      <c r="CX20" s="27">
        <f>Y20*Source!I29</f>
        <v>1.03</v>
      </c>
      <c r="CY20" s="27">
        <f>AD20</f>
        <v>8.64</v>
      </c>
      <c r="CZ20" s="27">
        <f>AH20</f>
        <v>8.64</v>
      </c>
      <c r="DA20" s="27">
        <f>AL20</f>
        <v>1</v>
      </c>
      <c r="DB20" s="27">
        <f>ROUND(ROUND(AT20*CZ20,2),6)</f>
        <v>8.9</v>
      </c>
      <c r="DC20" s="27">
        <f>ROUND(ROUND(AT20*AG20,2),6)</f>
        <v>0</v>
      </c>
    </row>
    <row r="21" spans="1:107" x14ac:dyDescent="0.2">
      <c r="A21" s="27">
        <f>ROW(Source!A29)</f>
        <v>29</v>
      </c>
      <c r="B21" s="27">
        <v>34787475</v>
      </c>
      <c r="C21" s="27">
        <v>34787507</v>
      </c>
      <c r="D21" s="27">
        <v>33085130</v>
      </c>
      <c r="E21" s="27">
        <v>66</v>
      </c>
      <c r="F21" s="27">
        <v>1</v>
      </c>
      <c r="G21" s="27">
        <v>1</v>
      </c>
      <c r="H21" s="27">
        <v>1</v>
      </c>
      <c r="I21" s="27" t="s">
        <v>300</v>
      </c>
      <c r="J21" s="27" t="s">
        <v>74</v>
      </c>
      <c r="K21" s="27" t="s">
        <v>299</v>
      </c>
      <c r="L21" s="27">
        <v>1191</v>
      </c>
      <c r="N21" s="27">
        <v>1013</v>
      </c>
      <c r="O21" s="27" t="s">
        <v>298</v>
      </c>
      <c r="P21" s="27" t="s">
        <v>298</v>
      </c>
      <c r="Q21" s="27">
        <v>1</v>
      </c>
      <c r="W21" s="27">
        <v>0</v>
      </c>
      <c r="X21" s="27">
        <v>-1417349443</v>
      </c>
      <c r="Y21" s="27">
        <v>0.01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1</v>
      </c>
      <c r="AJ21" s="27">
        <v>1</v>
      </c>
      <c r="AK21" s="27">
        <v>1</v>
      </c>
      <c r="AL21" s="27">
        <v>1</v>
      </c>
      <c r="AN21" s="27">
        <v>0</v>
      </c>
      <c r="AO21" s="27">
        <v>1</v>
      </c>
      <c r="AP21" s="27">
        <v>0</v>
      </c>
      <c r="AQ21" s="27">
        <v>0</v>
      </c>
      <c r="AR21" s="27">
        <v>0</v>
      </c>
      <c r="AS21" s="27" t="s">
        <v>74</v>
      </c>
      <c r="AT21" s="27">
        <v>0.01</v>
      </c>
      <c r="AU21" s="27" t="s">
        <v>74</v>
      </c>
      <c r="AV21" s="27">
        <v>2</v>
      </c>
      <c r="AW21" s="27">
        <v>2</v>
      </c>
      <c r="AX21" s="27">
        <v>34787509</v>
      </c>
      <c r="AY21" s="27">
        <v>1</v>
      </c>
      <c r="AZ21" s="27">
        <v>0</v>
      </c>
      <c r="BA21" s="27">
        <v>21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>
        <v>0</v>
      </c>
      <c r="BJ21" s="27">
        <v>0</v>
      </c>
      <c r="BK21" s="27">
        <v>0</v>
      </c>
      <c r="BL21" s="27">
        <v>0</v>
      </c>
      <c r="BM21" s="27">
        <v>0</v>
      </c>
      <c r="BN21" s="27">
        <v>0</v>
      </c>
      <c r="BO21" s="27">
        <v>0</v>
      </c>
      <c r="BP21" s="27">
        <v>0</v>
      </c>
      <c r="BQ21" s="27">
        <v>0</v>
      </c>
      <c r="BR21" s="27">
        <v>0</v>
      </c>
      <c r="BS21" s="27">
        <v>0</v>
      </c>
      <c r="BT21" s="27">
        <v>0</v>
      </c>
      <c r="BU21" s="27">
        <v>0</v>
      </c>
      <c r="BV21" s="27">
        <v>0</v>
      </c>
      <c r="BW21" s="27">
        <v>0</v>
      </c>
      <c r="CX21" s="27">
        <f>Y21*Source!I29</f>
        <v>0.01</v>
      </c>
      <c r="CY21" s="27">
        <f>AD21</f>
        <v>0</v>
      </c>
      <c r="CZ21" s="27">
        <f>AH21</f>
        <v>0</v>
      </c>
      <c r="DA21" s="27">
        <f>AL21</f>
        <v>1</v>
      </c>
      <c r="DB21" s="27">
        <f>ROUND(ROUND(AT21*CZ21,2),6)</f>
        <v>0</v>
      </c>
      <c r="DC21" s="27">
        <f>ROUND(ROUND(AT21*AG21,2),6)</f>
        <v>0</v>
      </c>
    </row>
    <row r="22" spans="1:107" x14ac:dyDescent="0.2">
      <c r="A22" s="27">
        <f>ROW(Source!A29)</f>
        <v>29</v>
      </c>
      <c r="B22" s="27">
        <v>34787475</v>
      </c>
      <c r="C22" s="27">
        <v>34787507</v>
      </c>
      <c r="D22" s="27">
        <v>33097571</v>
      </c>
      <c r="E22" s="27">
        <v>1</v>
      </c>
      <c r="F22" s="27">
        <v>1</v>
      </c>
      <c r="G22" s="27">
        <v>1</v>
      </c>
      <c r="H22" s="27">
        <v>2</v>
      </c>
      <c r="I22" s="27" t="s">
        <v>294</v>
      </c>
      <c r="J22" s="27" t="s">
        <v>293</v>
      </c>
      <c r="K22" s="27" t="s">
        <v>292</v>
      </c>
      <c r="L22" s="27">
        <v>1367</v>
      </c>
      <c r="N22" s="27">
        <v>1011</v>
      </c>
      <c r="O22" s="27" t="s">
        <v>291</v>
      </c>
      <c r="P22" s="27" t="s">
        <v>291</v>
      </c>
      <c r="Q22" s="27">
        <v>1</v>
      </c>
      <c r="W22" s="27">
        <v>0</v>
      </c>
      <c r="X22" s="27">
        <v>1977178073</v>
      </c>
      <c r="Y22" s="27">
        <v>0.01</v>
      </c>
      <c r="AA22" s="27">
        <v>0</v>
      </c>
      <c r="AB22" s="27">
        <v>65.709999999999994</v>
      </c>
      <c r="AC22" s="27">
        <v>11.6</v>
      </c>
      <c r="AD22" s="27">
        <v>0</v>
      </c>
      <c r="AE22" s="27">
        <v>0</v>
      </c>
      <c r="AF22" s="27">
        <v>65.709999999999994</v>
      </c>
      <c r="AG22" s="27">
        <v>11.6</v>
      </c>
      <c r="AH22" s="27">
        <v>0</v>
      </c>
      <c r="AI22" s="27">
        <v>1</v>
      </c>
      <c r="AJ22" s="27">
        <v>1</v>
      </c>
      <c r="AK22" s="27">
        <v>1</v>
      </c>
      <c r="AL22" s="27">
        <v>1</v>
      </c>
      <c r="AN22" s="27">
        <v>0</v>
      </c>
      <c r="AO22" s="27">
        <v>1</v>
      </c>
      <c r="AP22" s="27">
        <v>0</v>
      </c>
      <c r="AQ22" s="27">
        <v>0</v>
      </c>
      <c r="AR22" s="27">
        <v>0</v>
      </c>
      <c r="AS22" s="27" t="s">
        <v>74</v>
      </c>
      <c r="AT22" s="27">
        <v>0.01</v>
      </c>
      <c r="AU22" s="27" t="s">
        <v>74</v>
      </c>
      <c r="AV22" s="27">
        <v>0</v>
      </c>
      <c r="AW22" s="27">
        <v>2</v>
      </c>
      <c r="AX22" s="27">
        <v>34787510</v>
      </c>
      <c r="AY22" s="27">
        <v>1</v>
      </c>
      <c r="AZ22" s="27">
        <v>0</v>
      </c>
      <c r="BA22" s="27">
        <v>22</v>
      </c>
      <c r="BB22" s="27">
        <v>0</v>
      </c>
      <c r="BC22" s="27">
        <v>0</v>
      </c>
      <c r="BD22" s="27">
        <v>0</v>
      </c>
      <c r="BE22" s="27">
        <v>0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>
        <v>0</v>
      </c>
      <c r="BN22" s="27">
        <v>0</v>
      </c>
      <c r="BO22" s="27">
        <v>0</v>
      </c>
      <c r="BP22" s="27">
        <v>0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7">
        <v>0</v>
      </c>
      <c r="BW22" s="27">
        <v>0</v>
      </c>
      <c r="CX22" s="27">
        <f>Y22*Source!I29</f>
        <v>0.01</v>
      </c>
      <c r="CY22" s="27">
        <f>AB22</f>
        <v>65.709999999999994</v>
      </c>
      <c r="CZ22" s="27">
        <f>AF22</f>
        <v>65.709999999999994</v>
      </c>
      <c r="DA22" s="27">
        <f>AJ22</f>
        <v>1</v>
      </c>
      <c r="DB22" s="27">
        <f>ROUND(ROUND(AT22*CZ22,2),6)</f>
        <v>0.66</v>
      </c>
      <c r="DC22" s="27">
        <f>ROUND(ROUND(AT22*AG22,2),6)</f>
        <v>0.12</v>
      </c>
    </row>
    <row r="23" spans="1:107" x14ac:dyDescent="0.2">
      <c r="A23" s="27">
        <f>ROW(Source!A29)</f>
        <v>29</v>
      </c>
      <c r="B23" s="27">
        <v>34787475</v>
      </c>
      <c r="C23" s="27">
        <v>34787507</v>
      </c>
      <c r="D23" s="27">
        <v>33090299</v>
      </c>
      <c r="E23" s="27">
        <v>66</v>
      </c>
      <c r="F23" s="27">
        <v>1</v>
      </c>
      <c r="G23" s="27">
        <v>1</v>
      </c>
      <c r="H23" s="27">
        <v>3</v>
      </c>
      <c r="I23" s="27" t="s">
        <v>263</v>
      </c>
      <c r="J23" s="27" t="s">
        <v>74</v>
      </c>
      <c r="K23" s="27" t="s">
        <v>262</v>
      </c>
      <c r="L23" s="27">
        <v>1374</v>
      </c>
      <c r="N23" s="27">
        <v>1013</v>
      </c>
      <c r="O23" s="27" t="s">
        <v>261</v>
      </c>
      <c r="P23" s="27" t="s">
        <v>261</v>
      </c>
      <c r="Q23" s="27">
        <v>1</v>
      </c>
      <c r="W23" s="27">
        <v>0</v>
      </c>
      <c r="X23" s="27">
        <v>-1731369543</v>
      </c>
      <c r="Y23" s="27">
        <v>0.18</v>
      </c>
      <c r="AA23" s="27">
        <v>1</v>
      </c>
      <c r="AB23" s="27">
        <v>0</v>
      </c>
      <c r="AC23" s="27">
        <v>0</v>
      </c>
      <c r="AD23" s="27">
        <v>0</v>
      </c>
      <c r="AE23" s="27">
        <v>1</v>
      </c>
      <c r="AF23" s="27">
        <v>0</v>
      </c>
      <c r="AG23" s="27">
        <v>0</v>
      </c>
      <c r="AH23" s="27">
        <v>0</v>
      </c>
      <c r="AI23" s="27">
        <v>1</v>
      </c>
      <c r="AJ23" s="27">
        <v>1</v>
      </c>
      <c r="AK23" s="27">
        <v>1</v>
      </c>
      <c r="AL23" s="27">
        <v>1</v>
      </c>
      <c r="AN23" s="27">
        <v>0</v>
      </c>
      <c r="AO23" s="27">
        <v>1</v>
      </c>
      <c r="AP23" s="27">
        <v>0</v>
      </c>
      <c r="AQ23" s="27">
        <v>0</v>
      </c>
      <c r="AR23" s="27">
        <v>0</v>
      </c>
      <c r="AS23" s="27" t="s">
        <v>74</v>
      </c>
      <c r="AT23" s="27">
        <v>0.18</v>
      </c>
      <c r="AU23" s="27" t="s">
        <v>74</v>
      </c>
      <c r="AV23" s="27">
        <v>0</v>
      </c>
      <c r="AW23" s="27">
        <v>2</v>
      </c>
      <c r="AX23" s="27">
        <v>34787511</v>
      </c>
      <c r="AY23" s="27">
        <v>1</v>
      </c>
      <c r="AZ23" s="27">
        <v>0</v>
      </c>
      <c r="BA23" s="27">
        <v>23</v>
      </c>
      <c r="BB23" s="27">
        <v>0</v>
      </c>
      <c r="BC23" s="27">
        <v>0</v>
      </c>
      <c r="BD23" s="27">
        <v>0</v>
      </c>
      <c r="BE23" s="27">
        <v>0</v>
      </c>
      <c r="BF23" s="27">
        <v>0</v>
      </c>
      <c r="BG23" s="27">
        <v>0</v>
      </c>
      <c r="BH23" s="27">
        <v>0</v>
      </c>
      <c r="BI23" s="27">
        <v>0</v>
      </c>
      <c r="BJ23" s="27">
        <v>0</v>
      </c>
      <c r="BK23" s="27">
        <v>0</v>
      </c>
      <c r="BL23" s="27">
        <v>0</v>
      </c>
      <c r="BM23" s="27">
        <v>0</v>
      </c>
      <c r="BN23" s="27">
        <v>0</v>
      </c>
      <c r="BO23" s="27">
        <v>0</v>
      </c>
      <c r="BP23" s="27">
        <v>0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CX23" s="27">
        <f>Y23*Source!I29</f>
        <v>0.18</v>
      </c>
      <c r="CY23" s="27">
        <f>AA23</f>
        <v>1</v>
      </c>
      <c r="CZ23" s="27">
        <f>AE23</f>
        <v>1</v>
      </c>
      <c r="DA23" s="27">
        <f>AI23</f>
        <v>1</v>
      </c>
      <c r="DB23" s="27">
        <f>ROUND(ROUND(AT23*CZ23,2),6)</f>
        <v>0.18</v>
      </c>
      <c r="DC23" s="27">
        <f>ROUND(ROUND(AT23*AG23,2),6)</f>
        <v>0</v>
      </c>
    </row>
    <row r="24" spans="1:107" x14ac:dyDescent="0.2">
      <c r="A24" s="27">
        <f>ROW(Source!A30)</f>
        <v>30</v>
      </c>
      <c r="B24" s="27">
        <v>34787475</v>
      </c>
      <c r="C24" s="27">
        <v>34787847</v>
      </c>
      <c r="D24" s="27">
        <v>33084902</v>
      </c>
      <c r="E24" s="27">
        <v>66</v>
      </c>
      <c r="F24" s="27">
        <v>1</v>
      </c>
      <c r="G24" s="27">
        <v>1</v>
      </c>
      <c r="H24" s="27">
        <v>1</v>
      </c>
      <c r="I24" s="27" t="s">
        <v>313</v>
      </c>
      <c r="J24" s="27" t="s">
        <v>74</v>
      </c>
      <c r="K24" s="27" t="s">
        <v>312</v>
      </c>
      <c r="L24" s="27">
        <v>1191</v>
      </c>
      <c r="N24" s="27">
        <v>1013</v>
      </c>
      <c r="O24" s="27" t="s">
        <v>298</v>
      </c>
      <c r="P24" s="27" t="s">
        <v>298</v>
      </c>
      <c r="Q24" s="27">
        <v>1</v>
      </c>
      <c r="W24" s="27">
        <v>0</v>
      </c>
      <c r="X24" s="27">
        <v>-1111239348</v>
      </c>
      <c r="Y24" s="27">
        <v>14</v>
      </c>
      <c r="AA24" s="27">
        <v>0</v>
      </c>
      <c r="AB24" s="27">
        <v>0</v>
      </c>
      <c r="AC24" s="27">
        <v>0</v>
      </c>
      <c r="AD24" s="27">
        <v>9.6199999999999992</v>
      </c>
      <c r="AE24" s="27">
        <v>0</v>
      </c>
      <c r="AF24" s="27">
        <v>0</v>
      </c>
      <c r="AG24" s="27">
        <v>0</v>
      </c>
      <c r="AH24" s="27">
        <v>9.6199999999999992</v>
      </c>
      <c r="AI24" s="27">
        <v>1</v>
      </c>
      <c r="AJ24" s="27">
        <v>1</v>
      </c>
      <c r="AK24" s="27">
        <v>1</v>
      </c>
      <c r="AL24" s="27">
        <v>1</v>
      </c>
      <c r="AN24" s="27">
        <v>0</v>
      </c>
      <c r="AO24" s="27">
        <v>1</v>
      </c>
      <c r="AP24" s="27">
        <v>0</v>
      </c>
      <c r="AQ24" s="27">
        <v>0</v>
      </c>
      <c r="AR24" s="27">
        <v>0</v>
      </c>
      <c r="AS24" s="27" t="s">
        <v>74</v>
      </c>
      <c r="AT24" s="27">
        <v>14</v>
      </c>
      <c r="AU24" s="27" t="s">
        <v>74</v>
      </c>
      <c r="AV24" s="27">
        <v>1</v>
      </c>
      <c r="AW24" s="27">
        <v>2</v>
      </c>
      <c r="AX24" s="27">
        <v>34787848</v>
      </c>
      <c r="AY24" s="27">
        <v>1</v>
      </c>
      <c r="AZ24" s="27">
        <v>0</v>
      </c>
      <c r="BA24" s="27">
        <v>24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>
        <v>0</v>
      </c>
      <c r="BI24" s="27">
        <v>0</v>
      </c>
      <c r="BJ24" s="27">
        <v>0</v>
      </c>
      <c r="BK24" s="27">
        <v>0</v>
      </c>
      <c r="BL24" s="27">
        <v>0</v>
      </c>
      <c r="BM24" s="27">
        <v>0</v>
      </c>
      <c r="BN24" s="27">
        <v>0</v>
      </c>
      <c r="BO24" s="27">
        <v>0</v>
      </c>
      <c r="BP24" s="27">
        <v>0</v>
      </c>
      <c r="BQ24" s="27">
        <v>0</v>
      </c>
      <c r="BR24" s="27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CX24" s="27">
        <f>Y24*Source!I30</f>
        <v>14</v>
      </c>
      <c r="CY24" s="27">
        <f>AD24</f>
        <v>9.6199999999999992</v>
      </c>
      <c r="CZ24" s="27">
        <f>AH24</f>
        <v>9.6199999999999992</v>
      </c>
      <c r="DA24" s="27">
        <f>AL24</f>
        <v>1</v>
      </c>
      <c r="DB24" s="27">
        <f>ROUND(ROUND(AT24*CZ24,2),6)</f>
        <v>134.68</v>
      </c>
      <c r="DC24" s="27">
        <f>ROUND(ROUND(AT24*AG24,2),6)</f>
        <v>0</v>
      </c>
    </row>
    <row r="25" spans="1:107" x14ac:dyDescent="0.2">
      <c r="A25" s="27">
        <f>ROW(Source!A30)</f>
        <v>30</v>
      </c>
      <c r="B25" s="27">
        <v>34787475</v>
      </c>
      <c r="C25" s="27">
        <v>34787847</v>
      </c>
      <c r="D25" s="27">
        <v>33085130</v>
      </c>
      <c r="E25" s="27">
        <v>66</v>
      </c>
      <c r="F25" s="27">
        <v>1</v>
      </c>
      <c r="G25" s="27">
        <v>1</v>
      </c>
      <c r="H25" s="27">
        <v>1</v>
      </c>
      <c r="I25" s="27" t="s">
        <v>300</v>
      </c>
      <c r="J25" s="27" t="s">
        <v>74</v>
      </c>
      <c r="K25" s="27" t="s">
        <v>299</v>
      </c>
      <c r="L25" s="27">
        <v>1191</v>
      </c>
      <c r="N25" s="27">
        <v>1013</v>
      </c>
      <c r="O25" s="27" t="s">
        <v>298</v>
      </c>
      <c r="P25" s="27" t="s">
        <v>298</v>
      </c>
      <c r="Q25" s="27">
        <v>1</v>
      </c>
      <c r="W25" s="27">
        <v>0</v>
      </c>
      <c r="X25" s="27">
        <v>-1417349443</v>
      </c>
      <c r="Y25" s="27">
        <v>0.7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1</v>
      </c>
      <c r="AJ25" s="27">
        <v>1</v>
      </c>
      <c r="AK25" s="27">
        <v>1</v>
      </c>
      <c r="AL25" s="27">
        <v>1</v>
      </c>
      <c r="AN25" s="27">
        <v>0</v>
      </c>
      <c r="AO25" s="27">
        <v>1</v>
      </c>
      <c r="AP25" s="27">
        <v>0</v>
      </c>
      <c r="AQ25" s="27">
        <v>0</v>
      </c>
      <c r="AR25" s="27">
        <v>0</v>
      </c>
      <c r="AS25" s="27" t="s">
        <v>74</v>
      </c>
      <c r="AT25" s="27">
        <v>0.7</v>
      </c>
      <c r="AU25" s="27" t="s">
        <v>74</v>
      </c>
      <c r="AV25" s="27">
        <v>2</v>
      </c>
      <c r="AW25" s="27">
        <v>2</v>
      </c>
      <c r="AX25" s="27">
        <v>34787849</v>
      </c>
      <c r="AY25" s="27">
        <v>1</v>
      </c>
      <c r="AZ25" s="27">
        <v>0</v>
      </c>
      <c r="BA25" s="27">
        <v>25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7">
        <v>0</v>
      </c>
      <c r="BK25" s="27">
        <v>0</v>
      </c>
      <c r="BL25" s="27">
        <v>0</v>
      </c>
      <c r="BM25" s="27">
        <v>0</v>
      </c>
      <c r="BN25" s="27">
        <v>0</v>
      </c>
      <c r="BO25" s="27">
        <v>0</v>
      </c>
      <c r="BP25" s="27">
        <v>0</v>
      </c>
      <c r="BQ25" s="27">
        <v>0</v>
      </c>
      <c r="BR25" s="27">
        <v>0</v>
      </c>
      <c r="BS25" s="27">
        <v>0</v>
      </c>
      <c r="BT25" s="27">
        <v>0</v>
      </c>
      <c r="BU25" s="27">
        <v>0</v>
      </c>
      <c r="BV25" s="27">
        <v>0</v>
      </c>
      <c r="BW25" s="27">
        <v>0</v>
      </c>
      <c r="CX25" s="27">
        <f>Y25*Source!I30</f>
        <v>0.7</v>
      </c>
      <c r="CY25" s="27">
        <f>AD25</f>
        <v>0</v>
      </c>
      <c r="CZ25" s="27">
        <f>AH25</f>
        <v>0</v>
      </c>
      <c r="DA25" s="27">
        <f>AL25</f>
        <v>1</v>
      </c>
      <c r="DB25" s="27">
        <f>ROUND(ROUND(AT25*CZ25,2),6)</f>
        <v>0</v>
      </c>
      <c r="DC25" s="27">
        <f>ROUND(ROUND(AT25*AG25,2),6)</f>
        <v>0</v>
      </c>
    </row>
    <row r="26" spans="1:107" x14ac:dyDescent="0.2">
      <c r="A26" s="27">
        <f>ROW(Source!A30)</f>
        <v>30</v>
      </c>
      <c r="B26" s="27">
        <v>34787475</v>
      </c>
      <c r="C26" s="27">
        <v>34787847</v>
      </c>
      <c r="D26" s="27">
        <v>33096483</v>
      </c>
      <c r="E26" s="27">
        <v>1</v>
      </c>
      <c r="F26" s="27">
        <v>1</v>
      </c>
      <c r="G26" s="27">
        <v>1</v>
      </c>
      <c r="H26" s="27">
        <v>2</v>
      </c>
      <c r="I26" s="27" t="s">
        <v>311</v>
      </c>
      <c r="J26" s="27" t="s">
        <v>310</v>
      </c>
      <c r="K26" s="27" t="s">
        <v>309</v>
      </c>
      <c r="L26" s="27">
        <v>1367</v>
      </c>
      <c r="N26" s="27">
        <v>1011</v>
      </c>
      <c r="O26" s="27" t="s">
        <v>291</v>
      </c>
      <c r="P26" s="27" t="s">
        <v>291</v>
      </c>
      <c r="Q26" s="27">
        <v>1</v>
      </c>
      <c r="W26" s="27">
        <v>0</v>
      </c>
      <c r="X26" s="27">
        <v>271735967</v>
      </c>
      <c r="Y26" s="27">
        <v>0.7</v>
      </c>
      <c r="AA26" s="27">
        <v>0</v>
      </c>
      <c r="AB26" s="27">
        <v>89.99</v>
      </c>
      <c r="AC26" s="27">
        <v>10.06</v>
      </c>
      <c r="AD26" s="27">
        <v>0</v>
      </c>
      <c r="AE26" s="27">
        <v>0</v>
      </c>
      <c r="AF26" s="27">
        <v>89.99</v>
      </c>
      <c r="AG26" s="27">
        <v>10.06</v>
      </c>
      <c r="AH26" s="27">
        <v>0</v>
      </c>
      <c r="AI26" s="27">
        <v>1</v>
      </c>
      <c r="AJ26" s="27">
        <v>1</v>
      </c>
      <c r="AK26" s="27">
        <v>1</v>
      </c>
      <c r="AL26" s="27">
        <v>1</v>
      </c>
      <c r="AN26" s="27">
        <v>0</v>
      </c>
      <c r="AO26" s="27">
        <v>1</v>
      </c>
      <c r="AP26" s="27">
        <v>0</v>
      </c>
      <c r="AQ26" s="27">
        <v>0</v>
      </c>
      <c r="AR26" s="27">
        <v>0</v>
      </c>
      <c r="AS26" s="27" t="s">
        <v>74</v>
      </c>
      <c r="AT26" s="27">
        <v>0.7</v>
      </c>
      <c r="AU26" s="27" t="s">
        <v>74</v>
      </c>
      <c r="AV26" s="27">
        <v>0</v>
      </c>
      <c r="AW26" s="27">
        <v>2</v>
      </c>
      <c r="AX26" s="27">
        <v>34787850</v>
      </c>
      <c r="AY26" s="27">
        <v>1</v>
      </c>
      <c r="AZ26" s="27">
        <v>0</v>
      </c>
      <c r="BA26" s="27">
        <v>26</v>
      </c>
      <c r="BB26" s="27">
        <v>0</v>
      </c>
      <c r="BC26" s="27">
        <v>0</v>
      </c>
      <c r="BD26" s="27">
        <v>0</v>
      </c>
      <c r="BE26" s="27">
        <v>0</v>
      </c>
      <c r="BF26" s="27">
        <v>0</v>
      </c>
      <c r="BG26" s="27">
        <v>0</v>
      </c>
      <c r="BH26" s="27">
        <v>0</v>
      </c>
      <c r="BI26" s="27">
        <v>0</v>
      </c>
      <c r="BJ26" s="27">
        <v>0</v>
      </c>
      <c r="BK26" s="27">
        <v>0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7">
        <v>0</v>
      </c>
      <c r="BU26" s="27">
        <v>0</v>
      </c>
      <c r="BV26" s="27">
        <v>0</v>
      </c>
      <c r="BW26" s="27">
        <v>0</v>
      </c>
      <c r="CX26" s="27">
        <f>Y26*Source!I30</f>
        <v>0.7</v>
      </c>
      <c r="CY26" s="27">
        <f>AB26</f>
        <v>89.99</v>
      </c>
      <c r="CZ26" s="27">
        <f>AF26</f>
        <v>89.99</v>
      </c>
      <c r="DA26" s="27">
        <f>AJ26</f>
        <v>1</v>
      </c>
      <c r="DB26" s="27">
        <f>ROUND(ROUND(AT26*CZ26,2),6)</f>
        <v>62.99</v>
      </c>
      <c r="DC26" s="27">
        <f>ROUND(ROUND(AT26*AG26,2),6)</f>
        <v>7.04</v>
      </c>
    </row>
    <row r="27" spans="1:107" x14ac:dyDescent="0.2">
      <c r="A27" s="27">
        <f>ROW(Source!A30)</f>
        <v>30</v>
      </c>
      <c r="B27" s="27">
        <v>34787475</v>
      </c>
      <c r="C27" s="27">
        <v>34787847</v>
      </c>
      <c r="D27" s="27">
        <v>33144540</v>
      </c>
      <c r="E27" s="27">
        <v>1</v>
      </c>
      <c r="F27" s="27">
        <v>1</v>
      </c>
      <c r="G27" s="27">
        <v>1</v>
      </c>
      <c r="H27" s="27">
        <v>3</v>
      </c>
      <c r="I27" s="27" t="s">
        <v>273</v>
      </c>
      <c r="J27" s="27" t="s">
        <v>272</v>
      </c>
      <c r="K27" s="27" t="s">
        <v>271</v>
      </c>
      <c r="L27" s="27">
        <v>1348</v>
      </c>
      <c r="N27" s="27">
        <v>1009</v>
      </c>
      <c r="O27" s="27" t="s">
        <v>267</v>
      </c>
      <c r="P27" s="27" t="s">
        <v>267</v>
      </c>
      <c r="Q27" s="27">
        <v>1000</v>
      </c>
      <c r="W27" s="27">
        <v>0</v>
      </c>
      <c r="X27" s="27">
        <v>-1730554326</v>
      </c>
      <c r="Y27" s="27">
        <v>1.3999999999999999E-4</v>
      </c>
      <c r="AA27" s="27">
        <v>68050</v>
      </c>
      <c r="AB27" s="27">
        <v>0</v>
      </c>
      <c r="AC27" s="27">
        <v>0</v>
      </c>
      <c r="AD27" s="27">
        <v>0</v>
      </c>
      <c r="AE27" s="27">
        <v>68050</v>
      </c>
      <c r="AF27" s="27">
        <v>0</v>
      </c>
      <c r="AG27" s="27">
        <v>0</v>
      </c>
      <c r="AH27" s="27">
        <v>0</v>
      </c>
      <c r="AI27" s="27">
        <v>1</v>
      </c>
      <c r="AJ27" s="27">
        <v>1</v>
      </c>
      <c r="AK27" s="27">
        <v>1</v>
      </c>
      <c r="AL27" s="27">
        <v>1</v>
      </c>
      <c r="AN27" s="27">
        <v>0</v>
      </c>
      <c r="AO27" s="27">
        <v>1</v>
      </c>
      <c r="AP27" s="27">
        <v>0</v>
      </c>
      <c r="AQ27" s="27">
        <v>0</v>
      </c>
      <c r="AR27" s="27">
        <v>0</v>
      </c>
      <c r="AS27" s="27" t="s">
        <v>74</v>
      </c>
      <c r="AT27" s="27">
        <v>1.3999999999999999E-4</v>
      </c>
      <c r="AU27" s="27" t="s">
        <v>74</v>
      </c>
      <c r="AV27" s="27">
        <v>0</v>
      </c>
      <c r="AW27" s="27">
        <v>2</v>
      </c>
      <c r="AX27" s="27">
        <v>34787851</v>
      </c>
      <c r="AY27" s="27">
        <v>1</v>
      </c>
      <c r="AZ27" s="27">
        <v>0</v>
      </c>
      <c r="BA27" s="27">
        <v>27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0</v>
      </c>
      <c r="BR27" s="27">
        <v>0</v>
      </c>
      <c r="BS27" s="27">
        <v>0</v>
      </c>
      <c r="BT27" s="27">
        <v>0</v>
      </c>
      <c r="BU27" s="27">
        <v>0</v>
      </c>
      <c r="BV27" s="27">
        <v>0</v>
      </c>
      <c r="BW27" s="27">
        <v>0</v>
      </c>
      <c r="CX27" s="27">
        <f>Y27*Source!I30</f>
        <v>1.3999999999999999E-4</v>
      </c>
      <c r="CY27" s="27">
        <f>AA27</f>
        <v>68050</v>
      </c>
      <c r="CZ27" s="27">
        <f>AE27</f>
        <v>68050</v>
      </c>
      <c r="DA27" s="27">
        <f>AI27</f>
        <v>1</v>
      </c>
      <c r="DB27" s="27">
        <f>ROUND(ROUND(AT27*CZ27,2),6)</f>
        <v>9.5299999999999994</v>
      </c>
      <c r="DC27" s="27">
        <f>ROUND(ROUND(AT27*AG27,2),6)</f>
        <v>0</v>
      </c>
    </row>
    <row r="28" spans="1:107" x14ac:dyDescent="0.2">
      <c r="A28" s="27">
        <f>ROW(Source!A30)</f>
        <v>30</v>
      </c>
      <c r="B28" s="27">
        <v>34787475</v>
      </c>
      <c r="C28" s="27">
        <v>34787847</v>
      </c>
      <c r="D28" s="27">
        <v>33186240</v>
      </c>
      <c r="E28" s="27">
        <v>1</v>
      </c>
      <c r="F28" s="27">
        <v>1</v>
      </c>
      <c r="G28" s="27">
        <v>1</v>
      </c>
      <c r="H28" s="27">
        <v>3</v>
      </c>
      <c r="I28" s="27" t="s">
        <v>308</v>
      </c>
      <c r="J28" s="27" t="s">
        <v>307</v>
      </c>
      <c r="K28" s="27" t="s">
        <v>306</v>
      </c>
      <c r="L28" s="27">
        <v>1425</v>
      </c>
      <c r="N28" s="27">
        <v>1013</v>
      </c>
      <c r="O28" s="27" t="s">
        <v>211</v>
      </c>
      <c r="P28" s="27" t="s">
        <v>211</v>
      </c>
      <c r="Q28" s="27">
        <v>1</v>
      </c>
      <c r="W28" s="27">
        <v>0</v>
      </c>
      <c r="X28" s="27">
        <v>-600474036</v>
      </c>
      <c r="Y28" s="27">
        <v>0.45</v>
      </c>
      <c r="AA28" s="27">
        <v>580</v>
      </c>
      <c r="AB28" s="27">
        <v>0</v>
      </c>
      <c r="AC28" s="27">
        <v>0</v>
      </c>
      <c r="AD28" s="27">
        <v>0</v>
      </c>
      <c r="AE28" s="27">
        <v>580</v>
      </c>
      <c r="AF28" s="27">
        <v>0</v>
      </c>
      <c r="AG28" s="27">
        <v>0</v>
      </c>
      <c r="AH28" s="27">
        <v>0</v>
      </c>
      <c r="AI28" s="27">
        <v>1</v>
      </c>
      <c r="AJ28" s="27">
        <v>1</v>
      </c>
      <c r="AK28" s="27">
        <v>1</v>
      </c>
      <c r="AL28" s="27">
        <v>1</v>
      </c>
      <c r="AN28" s="27">
        <v>0</v>
      </c>
      <c r="AO28" s="27">
        <v>1</v>
      </c>
      <c r="AP28" s="27">
        <v>0</v>
      </c>
      <c r="AQ28" s="27">
        <v>0</v>
      </c>
      <c r="AR28" s="27">
        <v>0</v>
      </c>
      <c r="AS28" s="27" t="s">
        <v>74</v>
      </c>
      <c r="AT28" s="27">
        <v>0.45</v>
      </c>
      <c r="AU28" s="27" t="s">
        <v>74</v>
      </c>
      <c r="AV28" s="27">
        <v>0</v>
      </c>
      <c r="AW28" s="27">
        <v>2</v>
      </c>
      <c r="AX28" s="27">
        <v>34787852</v>
      </c>
      <c r="AY28" s="27">
        <v>1</v>
      </c>
      <c r="AZ28" s="27">
        <v>0</v>
      </c>
      <c r="BA28" s="27">
        <v>28</v>
      </c>
      <c r="BB28" s="27">
        <v>0</v>
      </c>
      <c r="BC28" s="27">
        <v>0</v>
      </c>
      <c r="BD28" s="27">
        <v>0</v>
      </c>
      <c r="BE28" s="27">
        <v>0</v>
      </c>
      <c r="BF28" s="27">
        <v>0</v>
      </c>
      <c r="BG28" s="27">
        <v>0</v>
      </c>
      <c r="BH28" s="27">
        <v>0</v>
      </c>
      <c r="BI28" s="27">
        <v>0</v>
      </c>
      <c r="BJ28" s="27">
        <v>0</v>
      </c>
      <c r="BK28" s="27">
        <v>0</v>
      </c>
      <c r="BL28" s="27">
        <v>0</v>
      </c>
      <c r="BM28" s="27">
        <v>0</v>
      </c>
      <c r="BN28" s="27">
        <v>0</v>
      </c>
      <c r="BO28" s="27">
        <v>0</v>
      </c>
      <c r="BP28" s="27">
        <v>0</v>
      </c>
      <c r="BQ28" s="27">
        <v>0</v>
      </c>
      <c r="BR28" s="27">
        <v>0</v>
      </c>
      <c r="BS28" s="27">
        <v>0</v>
      </c>
      <c r="BT28" s="27">
        <v>0</v>
      </c>
      <c r="BU28" s="27">
        <v>0</v>
      </c>
      <c r="BV28" s="27">
        <v>0</v>
      </c>
      <c r="BW28" s="27">
        <v>0</v>
      </c>
      <c r="CX28" s="27">
        <f>Y28*Source!I30</f>
        <v>0.45</v>
      </c>
      <c r="CY28" s="27">
        <f>AA28</f>
        <v>580</v>
      </c>
      <c r="CZ28" s="27">
        <f>AE28</f>
        <v>580</v>
      </c>
      <c r="DA28" s="27">
        <f>AI28</f>
        <v>1</v>
      </c>
      <c r="DB28" s="27">
        <f>ROUND(ROUND(AT28*CZ28,2),6)</f>
        <v>261</v>
      </c>
      <c r="DC28" s="27">
        <f>ROUND(ROUND(AT28*AG28,2),6)</f>
        <v>0</v>
      </c>
    </row>
    <row r="29" spans="1:107" x14ac:dyDescent="0.2">
      <c r="A29" s="27">
        <f>ROW(Source!A30)</f>
        <v>30</v>
      </c>
      <c r="B29" s="27">
        <v>34787475</v>
      </c>
      <c r="C29" s="27">
        <v>34787847</v>
      </c>
      <c r="D29" s="27">
        <v>33216195</v>
      </c>
      <c r="E29" s="27">
        <v>1</v>
      </c>
      <c r="F29" s="27">
        <v>1</v>
      </c>
      <c r="G29" s="27">
        <v>1</v>
      </c>
      <c r="H29" s="27">
        <v>3</v>
      </c>
      <c r="I29" s="27" t="s">
        <v>305</v>
      </c>
      <c r="J29" s="27" t="s">
        <v>304</v>
      </c>
      <c r="K29" s="27" t="s">
        <v>303</v>
      </c>
      <c r="L29" s="27">
        <v>1425</v>
      </c>
      <c r="N29" s="27">
        <v>1013</v>
      </c>
      <c r="O29" s="27" t="s">
        <v>211</v>
      </c>
      <c r="P29" s="27" t="s">
        <v>211</v>
      </c>
      <c r="Q29" s="27">
        <v>1</v>
      </c>
      <c r="W29" s="27">
        <v>0</v>
      </c>
      <c r="X29" s="27">
        <v>407546808</v>
      </c>
      <c r="Y29" s="27">
        <v>0.45</v>
      </c>
      <c r="AA29" s="27">
        <v>30.74</v>
      </c>
      <c r="AB29" s="27">
        <v>0</v>
      </c>
      <c r="AC29" s="27">
        <v>0</v>
      </c>
      <c r="AD29" s="27">
        <v>0</v>
      </c>
      <c r="AE29" s="27">
        <v>30.74</v>
      </c>
      <c r="AF29" s="27">
        <v>0</v>
      </c>
      <c r="AG29" s="27">
        <v>0</v>
      </c>
      <c r="AH29" s="27">
        <v>0</v>
      </c>
      <c r="AI29" s="27">
        <v>1</v>
      </c>
      <c r="AJ29" s="27">
        <v>1</v>
      </c>
      <c r="AK29" s="27">
        <v>1</v>
      </c>
      <c r="AL29" s="27">
        <v>1</v>
      </c>
      <c r="AN29" s="27">
        <v>0</v>
      </c>
      <c r="AO29" s="27">
        <v>1</v>
      </c>
      <c r="AP29" s="27">
        <v>0</v>
      </c>
      <c r="AQ29" s="27">
        <v>0</v>
      </c>
      <c r="AR29" s="27">
        <v>0</v>
      </c>
      <c r="AS29" s="27" t="s">
        <v>74</v>
      </c>
      <c r="AT29" s="27">
        <v>0.45</v>
      </c>
      <c r="AU29" s="27" t="s">
        <v>74</v>
      </c>
      <c r="AV29" s="27">
        <v>0</v>
      </c>
      <c r="AW29" s="27">
        <v>2</v>
      </c>
      <c r="AX29" s="27">
        <v>34787853</v>
      </c>
      <c r="AY29" s="27">
        <v>1</v>
      </c>
      <c r="AZ29" s="27">
        <v>0</v>
      </c>
      <c r="BA29" s="27">
        <v>29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CX29" s="27">
        <f>Y29*Source!I30</f>
        <v>0.45</v>
      </c>
      <c r="CY29" s="27">
        <f>AA29</f>
        <v>30.74</v>
      </c>
      <c r="CZ29" s="27">
        <f>AE29</f>
        <v>30.74</v>
      </c>
      <c r="DA29" s="27">
        <f>AI29</f>
        <v>1</v>
      </c>
      <c r="DB29" s="27">
        <f>ROUND(ROUND(AT29*CZ29,2),6)</f>
        <v>13.83</v>
      </c>
      <c r="DC29" s="27">
        <f>ROUND(ROUND(AT29*AG29,2),6)</f>
        <v>0</v>
      </c>
    </row>
    <row r="30" spans="1:107" x14ac:dyDescent="0.2">
      <c r="A30" s="27">
        <f>ROW(Source!A30)</f>
        <v>30</v>
      </c>
      <c r="B30" s="27">
        <v>34787475</v>
      </c>
      <c r="C30" s="27">
        <v>34787847</v>
      </c>
      <c r="D30" s="27">
        <v>33090299</v>
      </c>
      <c r="E30" s="27">
        <v>66</v>
      </c>
      <c r="F30" s="27">
        <v>1</v>
      </c>
      <c r="G30" s="27">
        <v>1</v>
      </c>
      <c r="H30" s="27">
        <v>3</v>
      </c>
      <c r="I30" s="27" t="s">
        <v>263</v>
      </c>
      <c r="J30" s="27" t="s">
        <v>74</v>
      </c>
      <c r="K30" s="27" t="s">
        <v>262</v>
      </c>
      <c r="L30" s="27">
        <v>1374</v>
      </c>
      <c r="N30" s="27">
        <v>1013</v>
      </c>
      <c r="O30" s="27" t="s">
        <v>261</v>
      </c>
      <c r="P30" s="27" t="s">
        <v>261</v>
      </c>
      <c r="Q30" s="27">
        <v>1</v>
      </c>
      <c r="W30" s="27">
        <v>0</v>
      </c>
      <c r="X30" s="27">
        <v>-1731369543</v>
      </c>
      <c r="Y30" s="27">
        <v>2.69</v>
      </c>
      <c r="AA30" s="27">
        <v>1</v>
      </c>
      <c r="AB30" s="27">
        <v>0</v>
      </c>
      <c r="AC30" s="27">
        <v>0</v>
      </c>
      <c r="AD30" s="27">
        <v>0</v>
      </c>
      <c r="AE30" s="27">
        <v>1</v>
      </c>
      <c r="AF30" s="27">
        <v>0</v>
      </c>
      <c r="AG30" s="27">
        <v>0</v>
      </c>
      <c r="AH30" s="27">
        <v>0</v>
      </c>
      <c r="AI30" s="27">
        <v>1</v>
      </c>
      <c r="AJ30" s="27">
        <v>1</v>
      </c>
      <c r="AK30" s="27">
        <v>1</v>
      </c>
      <c r="AL30" s="27">
        <v>1</v>
      </c>
      <c r="AN30" s="27">
        <v>0</v>
      </c>
      <c r="AO30" s="27">
        <v>1</v>
      </c>
      <c r="AP30" s="27">
        <v>0</v>
      </c>
      <c r="AQ30" s="27">
        <v>0</v>
      </c>
      <c r="AR30" s="27">
        <v>0</v>
      </c>
      <c r="AS30" s="27" t="s">
        <v>74</v>
      </c>
      <c r="AT30" s="27">
        <v>2.69</v>
      </c>
      <c r="AU30" s="27" t="s">
        <v>74</v>
      </c>
      <c r="AV30" s="27">
        <v>0</v>
      </c>
      <c r="AW30" s="27">
        <v>2</v>
      </c>
      <c r="AX30" s="27">
        <v>34787854</v>
      </c>
      <c r="AY30" s="27">
        <v>1</v>
      </c>
      <c r="AZ30" s="27">
        <v>0</v>
      </c>
      <c r="BA30" s="27">
        <v>30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7">
        <v>0</v>
      </c>
      <c r="BU30" s="27">
        <v>0</v>
      </c>
      <c r="BV30" s="27">
        <v>0</v>
      </c>
      <c r="BW30" s="27">
        <v>0</v>
      </c>
      <c r="CX30" s="27">
        <f>Y30*Source!I30</f>
        <v>2.69</v>
      </c>
      <c r="CY30" s="27">
        <f>AA30</f>
        <v>1</v>
      </c>
      <c r="CZ30" s="27">
        <f>AE30</f>
        <v>1</v>
      </c>
      <c r="DA30" s="27">
        <f>AI30</f>
        <v>1</v>
      </c>
      <c r="DB30" s="27">
        <f>ROUND(ROUND(AT30*CZ30,2),6)</f>
        <v>2.69</v>
      </c>
      <c r="DC30" s="27">
        <f>ROUND(ROUND(AT30*AG30,2),6)</f>
        <v>0</v>
      </c>
    </row>
    <row r="31" spans="1:107" x14ac:dyDescent="0.2">
      <c r="A31" s="27">
        <f>ROW(Source!A31)</f>
        <v>31</v>
      </c>
      <c r="B31" s="27">
        <v>34787475</v>
      </c>
      <c r="C31" s="27">
        <v>34787513</v>
      </c>
      <c r="D31" s="27">
        <v>33084915</v>
      </c>
      <c r="E31" s="27">
        <v>66</v>
      </c>
      <c r="F31" s="27">
        <v>1</v>
      </c>
      <c r="G31" s="27">
        <v>1</v>
      </c>
      <c r="H31" s="27">
        <v>1</v>
      </c>
      <c r="I31" s="27" t="s">
        <v>302</v>
      </c>
      <c r="J31" s="27" t="s">
        <v>74</v>
      </c>
      <c r="K31" s="27" t="s">
        <v>301</v>
      </c>
      <c r="L31" s="27">
        <v>1191</v>
      </c>
      <c r="N31" s="27">
        <v>1013</v>
      </c>
      <c r="O31" s="27" t="s">
        <v>298</v>
      </c>
      <c r="P31" s="27" t="s">
        <v>298</v>
      </c>
      <c r="Q31" s="27">
        <v>1</v>
      </c>
      <c r="W31" s="27">
        <v>0</v>
      </c>
      <c r="X31" s="27">
        <v>-1936699058</v>
      </c>
      <c r="Y31" s="27">
        <v>15.45</v>
      </c>
      <c r="AA31" s="27">
        <v>0</v>
      </c>
      <c r="AB31" s="27">
        <v>0</v>
      </c>
      <c r="AC31" s="27">
        <v>0</v>
      </c>
      <c r="AD31" s="27">
        <v>9.92</v>
      </c>
      <c r="AE31" s="27">
        <v>0</v>
      </c>
      <c r="AF31" s="27">
        <v>0</v>
      </c>
      <c r="AG31" s="27">
        <v>0</v>
      </c>
      <c r="AH31" s="27">
        <v>9.92</v>
      </c>
      <c r="AI31" s="27">
        <v>1</v>
      </c>
      <c r="AJ31" s="27">
        <v>1</v>
      </c>
      <c r="AK31" s="27">
        <v>1</v>
      </c>
      <c r="AL31" s="27">
        <v>1</v>
      </c>
      <c r="AN31" s="27">
        <v>0</v>
      </c>
      <c r="AO31" s="27">
        <v>1</v>
      </c>
      <c r="AP31" s="27">
        <v>0</v>
      </c>
      <c r="AQ31" s="27">
        <v>0</v>
      </c>
      <c r="AR31" s="27">
        <v>0</v>
      </c>
      <c r="AS31" s="27" t="s">
        <v>74</v>
      </c>
      <c r="AT31" s="27">
        <v>15.45</v>
      </c>
      <c r="AU31" s="27" t="s">
        <v>74</v>
      </c>
      <c r="AV31" s="27">
        <v>1</v>
      </c>
      <c r="AW31" s="27">
        <v>2</v>
      </c>
      <c r="AX31" s="27">
        <v>34787825</v>
      </c>
      <c r="AY31" s="27">
        <v>1</v>
      </c>
      <c r="AZ31" s="27">
        <v>0</v>
      </c>
      <c r="BA31" s="27">
        <v>31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0</v>
      </c>
      <c r="BV31" s="27">
        <v>0</v>
      </c>
      <c r="BW31" s="27">
        <v>0</v>
      </c>
      <c r="CX31" s="27">
        <f>Y31*Source!I31</f>
        <v>0.46349999999999997</v>
      </c>
      <c r="CY31" s="27">
        <f>AD31</f>
        <v>9.92</v>
      </c>
      <c r="CZ31" s="27">
        <f>AH31</f>
        <v>9.92</v>
      </c>
      <c r="DA31" s="27">
        <f>AL31</f>
        <v>1</v>
      </c>
      <c r="DB31" s="27">
        <f>ROUND(ROUND(AT31*CZ31,2),6)</f>
        <v>153.26</v>
      </c>
      <c r="DC31" s="27">
        <f>ROUND(ROUND(AT31*AG31,2),6)</f>
        <v>0</v>
      </c>
    </row>
    <row r="32" spans="1:107" x14ac:dyDescent="0.2">
      <c r="A32" s="27">
        <f>ROW(Source!A31)</f>
        <v>31</v>
      </c>
      <c r="B32" s="27">
        <v>34787475</v>
      </c>
      <c r="C32" s="27">
        <v>34787513</v>
      </c>
      <c r="D32" s="27">
        <v>33085130</v>
      </c>
      <c r="E32" s="27">
        <v>66</v>
      </c>
      <c r="F32" s="27">
        <v>1</v>
      </c>
      <c r="G32" s="27">
        <v>1</v>
      </c>
      <c r="H32" s="27">
        <v>1</v>
      </c>
      <c r="I32" s="27" t="s">
        <v>300</v>
      </c>
      <c r="J32" s="27" t="s">
        <v>74</v>
      </c>
      <c r="K32" s="27" t="s">
        <v>299</v>
      </c>
      <c r="L32" s="27">
        <v>1191</v>
      </c>
      <c r="N32" s="27">
        <v>1013</v>
      </c>
      <c r="O32" s="27" t="s">
        <v>298</v>
      </c>
      <c r="P32" s="27" t="s">
        <v>298</v>
      </c>
      <c r="Q32" s="27">
        <v>1</v>
      </c>
      <c r="W32" s="27">
        <v>0</v>
      </c>
      <c r="X32" s="27">
        <v>-1417349443</v>
      </c>
      <c r="Y32" s="27">
        <v>0.02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1</v>
      </c>
      <c r="AJ32" s="27">
        <v>1</v>
      </c>
      <c r="AK32" s="27">
        <v>1</v>
      </c>
      <c r="AL32" s="27">
        <v>1</v>
      </c>
      <c r="AN32" s="27">
        <v>0</v>
      </c>
      <c r="AO32" s="27">
        <v>1</v>
      </c>
      <c r="AP32" s="27">
        <v>0</v>
      </c>
      <c r="AQ32" s="27">
        <v>0</v>
      </c>
      <c r="AR32" s="27">
        <v>0</v>
      </c>
      <c r="AS32" s="27" t="s">
        <v>74</v>
      </c>
      <c r="AT32" s="27">
        <v>0.02</v>
      </c>
      <c r="AU32" s="27" t="s">
        <v>74</v>
      </c>
      <c r="AV32" s="27">
        <v>2</v>
      </c>
      <c r="AW32" s="27">
        <v>2</v>
      </c>
      <c r="AX32" s="27">
        <v>34787826</v>
      </c>
      <c r="AY32" s="27">
        <v>1</v>
      </c>
      <c r="AZ32" s="27">
        <v>0</v>
      </c>
      <c r="BA32" s="27">
        <v>32</v>
      </c>
      <c r="BB32" s="27">
        <v>0</v>
      </c>
      <c r="BC32" s="27">
        <v>0</v>
      </c>
      <c r="BD32" s="27">
        <v>0</v>
      </c>
      <c r="BE32" s="27">
        <v>0</v>
      </c>
      <c r="BF32" s="27">
        <v>0</v>
      </c>
      <c r="BG32" s="27">
        <v>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27">
        <v>0</v>
      </c>
      <c r="BR32" s="27">
        <v>0</v>
      </c>
      <c r="BS32" s="27">
        <v>0</v>
      </c>
      <c r="BT32" s="27">
        <v>0</v>
      </c>
      <c r="BU32" s="27">
        <v>0</v>
      </c>
      <c r="BV32" s="27">
        <v>0</v>
      </c>
      <c r="BW32" s="27">
        <v>0</v>
      </c>
      <c r="CX32" s="27">
        <f>Y32*Source!I31</f>
        <v>5.9999999999999995E-4</v>
      </c>
      <c r="CY32" s="27">
        <f>AD32</f>
        <v>0</v>
      </c>
      <c r="CZ32" s="27">
        <f>AH32</f>
        <v>0</v>
      </c>
      <c r="DA32" s="27">
        <f>AL32</f>
        <v>1</v>
      </c>
      <c r="DB32" s="27">
        <f>ROUND(ROUND(AT32*CZ32,2),6)</f>
        <v>0</v>
      </c>
      <c r="DC32" s="27">
        <f>ROUND(ROUND(AT32*AG32,2),6)</f>
        <v>0</v>
      </c>
    </row>
    <row r="33" spans="1:107" x14ac:dyDescent="0.2">
      <c r="A33" s="27">
        <f>ROW(Source!A31)</f>
        <v>31</v>
      </c>
      <c r="B33" s="27">
        <v>34787475</v>
      </c>
      <c r="C33" s="27">
        <v>34787513</v>
      </c>
      <c r="D33" s="27">
        <v>33096255</v>
      </c>
      <c r="E33" s="27">
        <v>1</v>
      </c>
      <c r="F33" s="27">
        <v>1</v>
      </c>
      <c r="G33" s="27">
        <v>1</v>
      </c>
      <c r="H33" s="27">
        <v>2</v>
      </c>
      <c r="I33" s="27" t="s">
        <v>297</v>
      </c>
      <c r="J33" s="27" t="s">
        <v>296</v>
      </c>
      <c r="K33" s="27" t="s">
        <v>295</v>
      </c>
      <c r="L33" s="27">
        <v>1367</v>
      </c>
      <c r="N33" s="27">
        <v>1011</v>
      </c>
      <c r="O33" s="27" t="s">
        <v>291</v>
      </c>
      <c r="P33" s="27" t="s">
        <v>291</v>
      </c>
      <c r="Q33" s="27">
        <v>1</v>
      </c>
      <c r="W33" s="27">
        <v>0</v>
      </c>
      <c r="X33" s="27">
        <v>540017450</v>
      </c>
      <c r="Y33" s="27">
        <v>0.01</v>
      </c>
      <c r="AA33" s="27">
        <v>0</v>
      </c>
      <c r="AB33" s="27">
        <v>115.4</v>
      </c>
      <c r="AC33" s="27">
        <v>13.5</v>
      </c>
      <c r="AD33" s="27">
        <v>0</v>
      </c>
      <c r="AE33" s="27">
        <v>0</v>
      </c>
      <c r="AF33" s="27">
        <v>115.4</v>
      </c>
      <c r="AG33" s="27">
        <v>13.5</v>
      </c>
      <c r="AH33" s="27">
        <v>0</v>
      </c>
      <c r="AI33" s="27">
        <v>1</v>
      </c>
      <c r="AJ33" s="27">
        <v>1</v>
      </c>
      <c r="AK33" s="27">
        <v>1</v>
      </c>
      <c r="AL33" s="27">
        <v>1</v>
      </c>
      <c r="AN33" s="27">
        <v>0</v>
      </c>
      <c r="AO33" s="27">
        <v>1</v>
      </c>
      <c r="AP33" s="27">
        <v>0</v>
      </c>
      <c r="AQ33" s="27">
        <v>0</v>
      </c>
      <c r="AR33" s="27">
        <v>0</v>
      </c>
      <c r="AS33" s="27" t="s">
        <v>74</v>
      </c>
      <c r="AT33" s="27">
        <v>0.01</v>
      </c>
      <c r="AU33" s="27" t="s">
        <v>74</v>
      </c>
      <c r="AV33" s="27">
        <v>0</v>
      </c>
      <c r="AW33" s="27">
        <v>2</v>
      </c>
      <c r="AX33" s="27">
        <v>34787827</v>
      </c>
      <c r="AY33" s="27">
        <v>1</v>
      </c>
      <c r="AZ33" s="27">
        <v>0</v>
      </c>
      <c r="BA33" s="27">
        <v>33</v>
      </c>
      <c r="BB33" s="27">
        <v>0</v>
      </c>
      <c r="BC33" s="27">
        <v>0</v>
      </c>
      <c r="BD33" s="27">
        <v>0</v>
      </c>
      <c r="BE33" s="27">
        <v>0</v>
      </c>
      <c r="BF33" s="27">
        <v>0</v>
      </c>
      <c r="BG33" s="27">
        <v>0</v>
      </c>
      <c r="BH33" s="27">
        <v>0</v>
      </c>
      <c r="BI33" s="27">
        <v>0</v>
      </c>
      <c r="BJ33" s="27">
        <v>0</v>
      </c>
      <c r="BK33" s="27">
        <v>0</v>
      </c>
      <c r="BL33" s="27">
        <v>0</v>
      </c>
      <c r="BM33" s="27">
        <v>0</v>
      </c>
      <c r="BN33" s="27">
        <v>0</v>
      </c>
      <c r="BO33" s="27">
        <v>0</v>
      </c>
      <c r="BP33" s="27">
        <v>0</v>
      </c>
      <c r="BQ33" s="27">
        <v>0</v>
      </c>
      <c r="BR33" s="27">
        <v>0</v>
      </c>
      <c r="BS33" s="27">
        <v>0</v>
      </c>
      <c r="BT33" s="27">
        <v>0</v>
      </c>
      <c r="BU33" s="27">
        <v>0</v>
      </c>
      <c r="BV33" s="27">
        <v>0</v>
      </c>
      <c r="BW33" s="27">
        <v>0</v>
      </c>
      <c r="CX33" s="27">
        <f>Y33*Source!I31</f>
        <v>2.9999999999999997E-4</v>
      </c>
      <c r="CY33" s="27">
        <f>AB33</f>
        <v>115.4</v>
      </c>
      <c r="CZ33" s="27">
        <f>AF33</f>
        <v>115.4</v>
      </c>
      <c r="DA33" s="27">
        <f>AJ33</f>
        <v>1</v>
      </c>
      <c r="DB33" s="27">
        <f>ROUND(ROUND(AT33*CZ33,2),6)</f>
        <v>1.1499999999999999</v>
      </c>
      <c r="DC33" s="27">
        <f>ROUND(ROUND(AT33*AG33,2),6)</f>
        <v>0.14000000000000001</v>
      </c>
    </row>
    <row r="34" spans="1:107" x14ac:dyDescent="0.2">
      <c r="A34" s="27">
        <f>ROW(Source!A31)</f>
        <v>31</v>
      </c>
      <c r="B34" s="27">
        <v>34787475</v>
      </c>
      <c r="C34" s="27">
        <v>34787513</v>
      </c>
      <c r="D34" s="27">
        <v>33097571</v>
      </c>
      <c r="E34" s="27">
        <v>1</v>
      </c>
      <c r="F34" s="27">
        <v>1</v>
      </c>
      <c r="G34" s="27">
        <v>1</v>
      </c>
      <c r="H34" s="27">
        <v>2</v>
      </c>
      <c r="I34" s="27" t="s">
        <v>294</v>
      </c>
      <c r="J34" s="27" t="s">
        <v>293</v>
      </c>
      <c r="K34" s="27" t="s">
        <v>292</v>
      </c>
      <c r="L34" s="27">
        <v>1367</v>
      </c>
      <c r="N34" s="27">
        <v>1011</v>
      </c>
      <c r="O34" s="27" t="s">
        <v>291</v>
      </c>
      <c r="P34" s="27" t="s">
        <v>291</v>
      </c>
      <c r="Q34" s="27">
        <v>1</v>
      </c>
      <c r="W34" s="27">
        <v>0</v>
      </c>
      <c r="X34" s="27">
        <v>1977178073</v>
      </c>
      <c r="Y34" s="27">
        <v>0.01</v>
      </c>
      <c r="AA34" s="27">
        <v>0</v>
      </c>
      <c r="AB34" s="27">
        <v>65.709999999999994</v>
      </c>
      <c r="AC34" s="27">
        <v>11.6</v>
      </c>
      <c r="AD34" s="27">
        <v>0</v>
      </c>
      <c r="AE34" s="27">
        <v>0</v>
      </c>
      <c r="AF34" s="27">
        <v>65.709999999999994</v>
      </c>
      <c r="AG34" s="27">
        <v>11.6</v>
      </c>
      <c r="AH34" s="27">
        <v>0</v>
      </c>
      <c r="AI34" s="27">
        <v>1</v>
      </c>
      <c r="AJ34" s="27">
        <v>1</v>
      </c>
      <c r="AK34" s="27">
        <v>1</v>
      </c>
      <c r="AL34" s="27">
        <v>1</v>
      </c>
      <c r="AN34" s="27">
        <v>0</v>
      </c>
      <c r="AO34" s="27">
        <v>1</v>
      </c>
      <c r="AP34" s="27">
        <v>0</v>
      </c>
      <c r="AQ34" s="27">
        <v>0</v>
      </c>
      <c r="AR34" s="27">
        <v>0</v>
      </c>
      <c r="AS34" s="27" t="s">
        <v>74</v>
      </c>
      <c r="AT34" s="27">
        <v>0.01</v>
      </c>
      <c r="AU34" s="27" t="s">
        <v>74</v>
      </c>
      <c r="AV34" s="27">
        <v>0</v>
      </c>
      <c r="AW34" s="27">
        <v>2</v>
      </c>
      <c r="AX34" s="27">
        <v>34787828</v>
      </c>
      <c r="AY34" s="27">
        <v>1</v>
      </c>
      <c r="AZ34" s="27">
        <v>0</v>
      </c>
      <c r="BA34" s="27">
        <v>34</v>
      </c>
      <c r="BB34" s="27">
        <v>0</v>
      </c>
      <c r="BC34" s="27">
        <v>0</v>
      </c>
      <c r="BD34" s="27">
        <v>0</v>
      </c>
      <c r="BE34" s="27">
        <v>0</v>
      </c>
      <c r="BF34" s="27">
        <v>0</v>
      </c>
      <c r="BG34" s="27">
        <v>0</v>
      </c>
      <c r="BH34" s="27">
        <v>0</v>
      </c>
      <c r="BI34" s="27">
        <v>0</v>
      </c>
      <c r="BJ34" s="27">
        <v>0</v>
      </c>
      <c r="BK34" s="27">
        <v>0</v>
      </c>
      <c r="BL34" s="27">
        <v>0</v>
      </c>
      <c r="BM34" s="27">
        <v>0</v>
      </c>
      <c r="BN34" s="27">
        <v>0</v>
      </c>
      <c r="BO34" s="27">
        <v>0</v>
      </c>
      <c r="BP34" s="27">
        <v>0</v>
      </c>
      <c r="BQ34" s="27">
        <v>0</v>
      </c>
      <c r="BR34" s="27">
        <v>0</v>
      </c>
      <c r="BS34" s="27">
        <v>0</v>
      </c>
      <c r="BT34" s="27">
        <v>0</v>
      </c>
      <c r="BU34" s="27">
        <v>0</v>
      </c>
      <c r="BV34" s="27">
        <v>0</v>
      </c>
      <c r="BW34" s="27">
        <v>0</v>
      </c>
      <c r="CX34" s="27">
        <f>Y34*Source!I31</f>
        <v>2.9999999999999997E-4</v>
      </c>
      <c r="CY34" s="27">
        <f>AB34</f>
        <v>65.709999999999994</v>
      </c>
      <c r="CZ34" s="27">
        <f>AF34</f>
        <v>65.709999999999994</v>
      </c>
      <c r="DA34" s="27">
        <f>AJ34</f>
        <v>1</v>
      </c>
      <c r="DB34" s="27">
        <f>ROUND(ROUND(AT34*CZ34,2),6)</f>
        <v>0.66</v>
      </c>
      <c r="DC34" s="27">
        <f>ROUND(ROUND(AT34*AG34,2),6)</f>
        <v>0.12</v>
      </c>
    </row>
    <row r="35" spans="1:107" x14ac:dyDescent="0.2">
      <c r="A35" s="27">
        <f>ROW(Source!A31)</f>
        <v>31</v>
      </c>
      <c r="B35" s="27">
        <v>34787475</v>
      </c>
      <c r="C35" s="27">
        <v>34787513</v>
      </c>
      <c r="D35" s="27">
        <v>33102570</v>
      </c>
      <c r="E35" s="27">
        <v>1</v>
      </c>
      <c r="F35" s="27">
        <v>1</v>
      </c>
      <c r="G35" s="27">
        <v>1</v>
      </c>
      <c r="H35" s="27">
        <v>3</v>
      </c>
      <c r="I35" s="27" t="s">
        <v>290</v>
      </c>
      <c r="J35" s="27" t="s">
        <v>289</v>
      </c>
      <c r="K35" s="27" t="s">
        <v>288</v>
      </c>
      <c r="L35" s="27">
        <v>1346</v>
      </c>
      <c r="N35" s="27">
        <v>1009</v>
      </c>
      <c r="O35" s="27" t="s">
        <v>274</v>
      </c>
      <c r="P35" s="27" t="s">
        <v>274</v>
      </c>
      <c r="Q35" s="27">
        <v>1</v>
      </c>
      <c r="W35" s="27">
        <v>0</v>
      </c>
      <c r="X35" s="27">
        <v>-767921249</v>
      </c>
      <c r="Y35" s="27">
        <v>0.1</v>
      </c>
      <c r="AA35" s="27">
        <v>44.97</v>
      </c>
      <c r="AB35" s="27">
        <v>0</v>
      </c>
      <c r="AC35" s="27">
        <v>0</v>
      </c>
      <c r="AD35" s="27">
        <v>0</v>
      </c>
      <c r="AE35" s="27">
        <v>44.97</v>
      </c>
      <c r="AF35" s="27">
        <v>0</v>
      </c>
      <c r="AG35" s="27">
        <v>0</v>
      </c>
      <c r="AH35" s="27">
        <v>0</v>
      </c>
      <c r="AI35" s="27">
        <v>1</v>
      </c>
      <c r="AJ35" s="27">
        <v>1</v>
      </c>
      <c r="AK35" s="27">
        <v>1</v>
      </c>
      <c r="AL35" s="27">
        <v>1</v>
      </c>
      <c r="AN35" s="27">
        <v>0</v>
      </c>
      <c r="AO35" s="27">
        <v>1</v>
      </c>
      <c r="AP35" s="27">
        <v>0</v>
      </c>
      <c r="AQ35" s="27">
        <v>0</v>
      </c>
      <c r="AR35" s="27">
        <v>0</v>
      </c>
      <c r="AS35" s="27" t="s">
        <v>74</v>
      </c>
      <c r="AT35" s="27">
        <v>0.1</v>
      </c>
      <c r="AU35" s="27" t="s">
        <v>74</v>
      </c>
      <c r="AV35" s="27">
        <v>0</v>
      </c>
      <c r="AW35" s="27">
        <v>2</v>
      </c>
      <c r="AX35" s="27">
        <v>34787829</v>
      </c>
      <c r="AY35" s="27">
        <v>1</v>
      </c>
      <c r="AZ35" s="27">
        <v>0</v>
      </c>
      <c r="BA35" s="27">
        <v>35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27">
        <v>0</v>
      </c>
      <c r="BR35" s="27">
        <v>0</v>
      </c>
      <c r="BS35" s="27">
        <v>0</v>
      </c>
      <c r="BT35" s="27">
        <v>0</v>
      </c>
      <c r="BU35" s="27">
        <v>0</v>
      </c>
      <c r="BV35" s="27">
        <v>0</v>
      </c>
      <c r="BW35" s="27">
        <v>0</v>
      </c>
      <c r="CX35" s="27">
        <f>Y35*Source!I31</f>
        <v>3.0000000000000001E-3</v>
      </c>
      <c r="CY35" s="27">
        <f>AA35</f>
        <v>44.97</v>
      </c>
      <c r="CZ35" s="27">
        <f>AE35</f>
        <v>44.97</v>
      </c>
      <c r="DA35" s="27">
        <f>AI35</f>
        <v>1</v>
      </c>
      <c r="DB35" s="27">
        <f>ROUND(ROUND(AT35*CZ35,2),6)</f>
        <v>4.5</v>
      </c>
      <c r="DC35" s="27">
        <f>ROUND(ROUND(AT35*AG35,2),6)</f>
        <v>0</v>
      </c>
    </row>
    <row r="36" spans="1:107" x14ac:dyDescent="0.2">
      <c r="A36" s="27">
        <f>ROW(Source!A31)</f>
        <v>31</v>
      </c>
      <c r="B36" s="27">
        <v>34787475</v>
      </c>
      <c r="C36" s="27">
        <v>34787513</v>
      </c>
      <c r="D36" s="27">
        <v>33105206</v>
      </c>
      <c r="E36" s="27">
        <v>1</v>
      </c>
      <c r="F36" s="27">
        <v>1</v>
      </c>
      <c r="G36" s="27">
        <v>1</v>
      </c>
      <c r="H36" s="27">
        <v>3</v>
      </c>
      <c r="I36" s="27" t="s">
        <v>287</v>
      </c>
      <c r="J36" s="27" t="s">
        <v>286</v>
      </c>
      <c r="K36" s="27" t="s">
        <v>285</v>
      </c>
      <c r="L36" s="27">
        <v>1346</v>
      </c>
      <c r="N36" s="27">
        <v>1009</v>
      </c>
      <c r="O36" s="27" t="s">
        <v>274</v>
      </c>
      <c r="P36" s="27" t="s">
        <v>274</v>
      </c>
      <c r="Q36" s="27">
        <v>1</v>
      </c>
      <c r="W36" s="27">
        <v>0</v>
      </c>
      <c r="X36" s="27">
        <v>1711652535</v>
      </c>
      <c r="Y36" s="27">
        <v>0.02</v>
      </c>
      <c r="AA36" s="27">
        <v>11.5</v>
      </c>
      <c r="AB36" s="27">
        <v>0</v>
      </c>
      <c r="AC36" s="27">
        <v>0</v>
      </c>
      <c r="AD36" s="27">
        <v>0</v>
      </c>
      <c r="AE36" s="27">
        <v>11.5</v>
      </c>
      <c r="AF36" s="27">
        <v>0</v>
      </c>
      <c r="AG36" s="27">
        <v>0</v>
      </c>
      <c r="AH36" s="27">
        <v>0</v>
      </c>
      <c r="AI36" s="27">
        <v>1</v>
      </c>
      <c r="AJ36" s="27">
        <v>1</v>
      </c>
      <c r="AK36" s="27">
        <v>1</v>
      </c>
      <c r="AL36" s="27">
        <v>1</v>
      </c>
      <c r="AN36" s="27">
        <v>0</v>
      </c>
      <c r="AO36" s="27">
        <v>1</v>
      </c>
      <c r="AP36" s="27">
        <v>0</v>
      </c>
      <c r="AQ36" s="27">
        <v>0</v>
      </c>
      <c r="AR36" s="27">
        <v>0</v>
      </c>
      <c r="AS36" s="27" t="s">
        <v>74</v>
      </c>
      <c r="AT36" s="27">
        <v>0.02</v>
      </c>
      <c r="AU36" s="27" t="s">
        <v>74</v>
      </c>
      <c r="AV36" s="27">
        <v>0</v>
      </c>
      <c r="AW36" s="27">
        <v>2</v>
      </c>
      <c r="AX36" s="27">
        <v>34787830</v>
      </c>
      <c r="AY36" s="27">
        <v>1</v>
      </c>
      <c r="AZ36" s="27">
        <v>0</v>
      </c>
      <c r="BA36" s="27">
        <v>36</v>
      </c>
      <c r="BB36" s="27">
        <v>0</v>
      </c>
      <c r="BC36" s="27">
        <v>0</v>
      </c>
      <c r="BD36" s="27">
        <v>0</v>
      </c>
      <c r="BE36" s="27">
        <v>0</v>
      </c>
      <c r="BF36" s="27">
        <v>0</v>
      </c>
      <c r="BG36" s="27">
        <v>0</v>
      </c>
      <c r="BH36" s="27">
        <v>0</v>
      </c>
      <c r="BI36" s="27">
        <v>0</v>
      </c>
      <c r="BJ36" s="27">
        <v>0</v>
      </c>
      <c r="BK36" s="27">
        <v>0</v>
      </c>
      <c r="BL36" s="27">
        <v>0</v>
      </c>
      <c r="BM36" s="27">
        <v>0</v>
      </c>
      <c r="BN36" s="27">
        <v>0</v>
      </c>
      <c r="BO36" s="27">
        <v>0</v>
      </c>
      <c r="BP36" s="27">
        <v>0</v>
      </c>
      <c r="BQ36" s="27">
        <v>0</v>
      </c>
      <c r="BR36" s="27">
        <v>0</v>
      </c>
      <c r="BS36" s="27">
        <v>0</v>
      </c>
      <c r="BT36" s="27">
        <v>0</v>
      </c>
      <c r="BU36" s="27">
        <v>0</v>
      </c>
      <c r="BV36" s="27">
        <v>0</v>
      </c>
      <c r="BW36" s="27">
        <v>0</v>
      </c>
      <c r="CX36" s="27">
        <f>Y36*Source!I31</f>
        <v>5.9999999999999995E-4</v>
      </c>
      <c r="CY36" s="27">
        <f>AA36</f>
        <v>11.5</v>
      </c>
      <c r="CZ36" s="27">
        <f>AE36</f>
        <v>11.5</v>
      </c>
      <c r="DA36" s="27">
        <f>AI36</f>
        <v>1</v>
      </c>
      <c r="DB36" s="27">
        <f>ROUND(ROUND(AT36*CZ36,2),6)</f>
        <v>0.23</v>
      </c>
      <c r="DC36" s="27">
        <f>ROUND(ROUND(AT36*AG36,2),6)</f>
        <v>0</v>
      </c>
    </row>
    <row r="37" spans="1:107" x14ac:dyDescent="0.2">
      <c r="A37" s="27">
        <f>ROW(Source!A31)</f>
        <v>31</v>
      </c>
      <c r="B37" s="27">
        <v>34787475</v>
      </c>
      <c r="C37" s="27">
        <v>34787513</v>
      </c>
      <c r="D37" s="27">
        <v>33105699</v>
      </c>
      <c r="E37" s="27">
        <v>1</v>
      </c>
      <c r="F37" s="27">
        <v>1</v>
      </c>
      <c r="G37" s="27">
        <v>1</v>
      </c>
      <c r="H37" s="27">
        <v>3</v>
      </c>
      <c r="I37" s="27" t="s">
        <v>284</v>
      </c>
      <c r="J37" s="27" t="s">
        <v>283</v>
      </c>
      <c r="K37" s="27" t="s">
        <v>282</v>
      </c>
      <c r="L37" s="27">
        <v>1346</v>
      </c>
      <c r="N37" s="27">
        <v>1009</v>
      </c>
      <c r="O37" s="27" t="s">
        <v>274</v>
      </c>
      <c r="P37" s="27" t="s">
        <v>274</v>
      </c>
      <c r="Q37" s="27">
        <v>1</v>
      </c>
      <c r="W37" s="27">
        <v>0</v>
      </c>
      <c r="X37" s="27">
        <v>162667242</v>
      </c>
      <c r="Y37" s="27">
        <v>0.2</v>
      </c>
      <c r="AA37" s="27">
        <v>30.4</v>
      </c>
      <c r="AB37" s="27">
        <v>0</v>
      </c>
      <c r="AC37" s="27">
        <v>0</v>
      </c>
      <c r="AD37" s="27">
        <v>0</v>
      </c>
      <c r="AE37" s="27">
        <v>30.4</v>
      </c>
      <c r="AF37" s="27">
        <v>0</v>
      </c>
      <c r="AG37" s="27">
        <v>0</v>
      </c>
      <c r="AH37" s="27">
        <v>0</v>
      </c>
      <c r="AI37" s="27">
        <v>1</v>
      </c>
      <c r="AJ37" s="27">
        <v>1</v>
      </c>
      <c r="AK37" s="27">
        <v>1</v>
      </c>
      <c r="AL37" s="27">
        <v>1</v>
      </c>
      <c r="AN37" s="27">
        <v>0</v>
      </c>
      <c r="AO37" s="27">
        <v>1</v>
      </c>
      <c r="AP37" s="27">
        <v>0</v>
      </c>
      <c r="AQ37" s="27">
        <v>0</v>
      </c>
      <c r="AR37" s="27">
        <v>0</v>
      </c>
      <c r="AS37" s="27" t="s">
        <v>74</v>
      </c>
      <c r="AT37" s="27">
        <v>0.2</v>
      </c>
      <c r="AU37" s="27" t="s">
        <v>74</v>
      </c>
      <c r="AV37" s="27">
        <v>0</v>
      </c>
      <c r="AW37" s="27">
        <v>2</v>
      </c>
      <c r="AX37" s="27">
        <v>34787831</v>
      </c>
      <c r="AY37" s="27">
        <v>1</v>
      </c>
      <c r="AZ37" s="27">
        <v>0</v>
      </c>
      <c r="BA37" s="27">
        <v>37</v>
      </c>
      <c r="BB37" s="27">
        <v>0</v>
      </c>
      <c r="BC37" s="27">
        <v>0</v>
      </c>
      <c r="BD37" s="27">
        <v>0</v>
      </c>
      <c r="BE37" s="27">
        <v>0</v>
      </c>
      <c r="BF37" s="27">
        <v>0</v>
      </c>
      <c r="BG37" s="27">
        <v>0</v>
      </c>
      <c r="BH37" s="27">
        <v>0</v>
      </c>
      <c r="BI37" s="27">
        <v>0</v>
      </c>
      <c r="BJ37" s="27">
        <v>0</v>
      </c>
      <c r="BK37" s="27">
        <v>0</v>
      </c>
      <c r="BL37" s="27">
        <v>0</v>
      </c>
      <c r="BM37" s="27">
        <v>0</v>
      </c>
      <c r="BN37" s="27">
        <v>0</v>
      </c>
      <c r="BO37" s="27">
        <v>0</v>
      </c>
      <c r="BP37" s="27">
        <v>0</v>
      </c>
      <c r="BQ37" s="27">
        <v>0</v>
      </c>
      <c r="BR37" s="27">
        <v>0</v>
      </c>
      <c r="BS37" s="27">
        <v>0</v>
      </c>
      <c r="BT37" s="27">
        <v>0</v>
      </c>
      <c r="BU37" s="27">
        <v>0</v>
      </c>
      <c r="BV37" s="27">
        <v>0</v>
      </c>
      <c r="BW37" s="27">
        <v>0</v>
      </c>
      <c r="CX37" s="27">
        <f>Y37*Source!I31</f>
        <v>6.0000000000000001E-3</v>
      </c>
      <c r="CY37" s="27">
        <f>AA37</f>
        <v>30.4</v>
      </c>
      <c r="CZ37" s="27">
        <f>AE37</f>
        <v>30.4</v>
      </c>
      <c r="DA37" s="27">
        <f>AI37</f>
        <v>1</v>
      </c>
      <c r="DB37" s="27">
        <f>ROUND(ROUND(AT37*CZ37,2),6)</f>
        <v>6.08</v>
      </c>
      <c r="DC37" s="27">
        <f>ROUND(ROUND(AT37*AG37,2),6)</f>
        <v>0</v>
      </c>
    </row>
    <row r="38" spans="1:107" x14ac:dyDescent="0.2">
      <c r="A38" s="27">
        <f>ROW(Source!A31)</f>
        <v>31</v>
      </c>
      <c r="B38" s="27">
        <v>34787475</v>
      </c>
      <c r="C38" s="27">
        <v>34787513</v>
      </c>
      <c r="D38" s="27">
        <v>33105726</v>
      </c>
      <c r="E38" s="27">
        <v>1</v>
      </c>
      <c r="F38" s="27">
        <v>1</v>
      </c>
      <c r="G38" s="27">
        <v>1</v>
      </c>
      <c r="H38" s="27">
        <v>3</v>
      </c>
      <c r="I38" s="27" t="s">
        <v>281</v>
      </c>
      <c r="J38" s="27" t="s">
        <v>280</v>
      </c>
      <c r="K38" s="27" t="s">
        <v>279</v>
      </c>
      <c r="L38" s="27">
        <v>1302</v>
      </c>
      <c r="N38" s="27">
        <v>1003</v>
      </c>
      <c r="O38" s="27" t="s">
        <v>278</v>
      </c>
      <c r="P38" s="27" t="s">
        <v>278</v>
      </c>
      <c r="Q38" s="27">
        <v>10</v>
      </c>
      <c r="W38" s="27">
        <v>0</v>
      </c>
      <c r="X38" s="27">
        <v>-398821582</v>
      </c>
      <c r="Y38" s="27">
        <v>1</v>
      </c>
      <c r="AA38" s="27">
        <v>6.9</v>
      </c>
      <c r="AB38" s="27">
        <v>0</v>
      </c>
      <c r="AC38" s="27">
        <v>0</v>
      </c>
      <c r="AD38" s="27">
        <v>0</v>
      </c>
      <c r="AE38" s="27">
        <v>6.9</v>
      </c>
      <c r="AF38" s="27">
        <v>0</v>
      </c>
      <c r="AG38" s="27">
        <v>0</v>
      </c>
      <c r="AH38" s="27">
        <v>0</v>
      </c>
      <c r="AI38" s="27">
        <v>1</v>
      </c>
      <c r="AJ38" s="27">
        <v>1</v>
      </c>
      <c r="AK38" s="27">
        <v>1</v>
      </c>
      <c r="AL38" s="27">
        <v>1</v>
      </c>
      <c r="AN38" s="27">
        <v>0</v>
      </c>
      <c r="AO38" s="27">
        <v>1</v>
      </c>
      <c r="AP38" s="27">
        <v>0</v>
      </c>
      <c r="AQ38" s="27">
        <v>0</v>
      </c>
      <c r="AR38" s="27">
        <v>0</v>
      </c>
      <c r="AS38" s="27" t="s">
        <v>74</v>
      </c>
      <c r="AT38" s="27">
        <v>1</v>
      </c>
      <c r="AU38" s="27" t="s">
        <v>74</v>
      </c>
      <c r="AV38" s="27">
        <v>0</v>
      </c>
      <c r="AW38" s="27">
        <v>2</v>
      </c>
      <c r="AX38" s="27">
        <v>34787832</v>
      </c>
      <c r="AY38" s="27">
        <v>1</v>
      </c>
      <c r="AZ38" s="27">
        <v>0</v>
      </c>
      <c r="BA38" s="27">
        <v>38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CX38" s="27">
        <f>Y38*Source!I31</f>
        <v>0.03</v>
      </c>
      <c r="CY38" s="27">
        <f>AA38</f>
        <v>6.9</v>
      </c>
      <c r="CZ38" s="27">
        <f>AE38</f>
        <v>6.9</v>
      </c>
      <c r="DA38" s="27">
        <f>AI38</f>
        <v>1</v>
      </c>
      <c r="DB38" s="27">
        <f>ROUND(ROUND(AT38*CZ38,2),6)</f>
        <v>6.9</v>
      </c>
      <c r="DC38" s="27">
        <f>ROUND(ROUND(AT38*AG38,2),6)</f>
        <v>0</v>
      </c>
    </row>
    <row r="39" spans="1:107" x14ac:dyDescent="0.2">
      <c r="A39" s="27">
        <f>ROW(Source!A31)</f>
        <v>31</v>
      </c>
      <c r="B39" s="27">
        <v>34787475</v>
      </c>
      <c r="C39" s="27">
        <v>34787513</v>
      </c>
      <c r="D39" s="27">
        <v>33111073</v>
      </c>
      <c r="E39" s="27">
        <v>1</v>
      </c>
      <c r="F39" s="27">
        <v>1</v>
      </c>
      <c r="G39" s="27">
        <v>1</v>
      </c>
      <c r="H39" s="27">
        <v>3</v>
      </c>
      <c r="I39" s="27" t="s">
        <v>277</v>
      </c>
      <c r="J39" s="27" t="s">
        <v>276</v>
      </c>
      <c r="K39" s="27" t="s">
        <v>275</v>
      </c>
      <c r="L39" s="27">
        <v>1346</v>
      </c>
      <c r="N39" s="27">
        <v>1009</v>
      </c>
      <c r="O39" s="27" t="s">
        <v>274</v>
      </c>
      <c r="P39" s="27" t="s">
        <v>274</v>
      </c>
      <c r="Q39" s="27">
        <v>1</v>
      </c>
      <c r="W39" s="27">
        <v>0</v>
      </c>
      <c r="X39" s="27">
        <v>-80277727</v>
      </c>
      <c r="Y39" s="27">
        <v>0.01</v>
      </c>
      <c r="AA39" s="27">
        <v>133.05000000000001</v>
      </c>
      <c r="AB39" s="27">
        <v>0</v>
      </c>
      <c r="AC39" s="27">
        <v>0</v>
      </c>
      <c r="AD39" s="27">
        <v>0</v>
      </c>
      <c r="AE39" s="27">
        <v>133.05000000000001</v>
      </c>
      <c r="AF39" s="27">
        <v>0</v>
      </c>
      <c r="AG39" s="27">
        <v>0</v>
      </c>
      <c r="AH39" s="27">
        <v>0</v>
      </c>
      <c r="AI39" s="27">
        <v>1</v>
      </c>
      <c r="AJ39" s="27">
        <v>1</v>
      </c>
      <c r="AK39" s="27">
        <v>1</v>
      </c>
      <c r="AL39" s="27">
        <v>1</v>
      </c>
      <c r="AN39" s="27">
        <v>0</v>
      </c>
      <c r="AO39" s="27">
        <v>1</v>
      </c>
      <c r="AP39" s="27">
        <v>0</v>
      </c>
      <c r="AQ39" s="27">
        <v>0</v>
      </c>
      <c r="AR39" s="27">
        <v>0</v>
      </c>
      <c r="AS39" s="27" t="s">
        <v>74</v>
      </c>
      <c r="AT39" s="27">
        <v>0.01</v>
      </c>
      <c r="AU39" s="27" t="s">
        <v>74</v>
      </c>
      <c r="AV39" s="27">
        <v>0</v>
      </c>
      <c r="AW39" s="27">
        <v>2</v>
      </c>
      <c r="AX39" s="27">
        <v>34787833</v>
      </c>
      <c r="AY39" s="27">
        <v>1</v>
      </c>
      <c r="AZ39" s="27">
        <v>0</v>
      </c>
      <c r="BA39" s="27">
        <v>39</v>
      </c>
      <c r="BB39" s="27">
        <v>0</v>
      </c>
      <c r="BC39" s="27">
        <v>0</v>
      </c>
      <c r="BD39" s="27">
        <v>0</v>
      </c>
      <c r="BE39" s="27">
        <v>0</v>
      </c>
      <c r="BF39" s="27">
        <v>0</v>
      </c>
      <c r="BG39" s="27">
        <v>0</v>
      </c>
      <c r="BH39" s="27">
        <v>0</v>
      </c>
      <c r="BI39" s="27">
        <v>0</v>
      </c>
      <c r="BJ39" s="27">
        <v>0</v>
      </c>
      <c r="BK39" s="27">
        <v>0</v>
      </c>
      <c r="BL39" s="27">
        <v>0</v>
      </c>
      <c r="BM39" s="27">
        <v>0</v>
      </c>
      <c r="BN39" s="27">
        <v>0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7">
        <v>0</v>
      </c>
      <c r="BU39" s="27">
        <v>0</v>
      </c>
      <c r="BV39" s="27">
        <v>0</v>
      </c>
      <c r="BW39" s="27">
        <v>0</v>
      </c>
      <c r="CX39" s="27">
        <f>Y39*Source!I31</f>
        <v>2.9999999999999997E-4</v>
      </c>
      <c r="CY39" s="27">
        <f>AA39</f>
        <v>133.05000000000001</v>
      </c>
      <c r="CZ39" s="27">
        <f>AE39</f>
        <v>133.05000000000001</v>
      </c>
      <c r="DA39" s="27">
        <f>AI39</f>
        <v>1</v>
      </c>
      <c r="DB39" s="27">
        <f>ROUND(ROUND(AT39*CZ39,2),6)</f>
        <v>1.33</v>
      </c>
      <c r="DC39" s="27">
        <f>ROUND(ROUND(AT39*AG39,2),6)</f>
        <v>0</v>
      </c>
    </row>
    <row r="40" spans="1:107" x14ac:dyDescent="0.2">
      <c r="A40" s="27">
        <f>ROW(Source!A31)</f>
        <v>31</v>
      </c>
      <c r="B40" s="27">
        <v>34787475</v>
      </c>
      <c r="C40" s="27">
        <v>34787513</v>
      </c>
      <c r="D40" s="27">
        <v>33144540</v>
      </c>
      <c r="E40" s="27">
        <v>1</v>
      </c>
      <c r="F40" s="27">
        <v>1</v>
      </c>
      <c r="G40" s="27">
        <v>1</v>
      </c>
      <c r="H40" s="27">
        <v>3</v>
      </c>
      <c r="I40" s="27" t="s">
        <v>273</v>
      </c>
      <c r="J40" s="27" t="s">
        <v>272</v>
      </c>
      <c r="K40" s="27" t="s">
        <v>271</v>
      </c>
      <c r="L40" s="27">
        <v>1348</v>
      </c>
      <c r="N40" s="27">
        <v>1009</v>
      </c>
      <c r="O40" s="27" t="s">
        <v>267</v>
      </c>
      <c r="P40" s="27" t="s">
        <v>267</v>
      </c>
      <c r="Q40" s="27">
        <v>1000</v>
      </c>
      <c r="W40" s="27">
        <v>0</v>
      </c>
      <c r="X40" s="27">
        <v>-1730554326</v>
      </c>
      <c r="Y40" s="27">
        <v>8.0000000000000007E-5</v>
      </c>
      <c r="AA40" s="27">
        <v>68050</v>
      </c>
      <c r="AB40" s="27">
        <v>0</v>
      </c>
      <c r="AC40" s="27">
        <v>0</v>
      </c>
      <c r="AD40" s="27">
        <v>0</v>
      </c>
      <c r="AE40" s="27">
        <v>68050</v>
      </c>
      <c r="AF40" s="27">
        <v>0</v>
      </c>
      <c r="AG40" s="27">
        <v>0</v>
      </c>
      <c r="AH40" s="27">
        <v>0</v>
      </c>
      <c r="AI40" s="27">
        <v>1</v>
      </c>
      <c r="AJ40" s="27">
        <v>1</v>
      </c>
      <c r="AK40" s="27">
        <v>1</v>
      </c>
      <c r="AL40" s="27">
        <v>1</v>
      </c>
      <c r="AN40" s="27">
        <v>0</v>
      </c>
      <c r="AO40" s="27">
        <v>1</v>
      </c>
      <c r="AP40" s="27">
        <v>0</v>
      </c>
      <c r="AQ40" s="27">
        <v>0</v>
      </c>
      <c r="AR40" s="27">
        <v>0</v>
      </c>
      <c r="AS40" s="27" t="s">
        <v>74</v>
      </c>
      <c r="AT40" s="27">
        <v>8.0000000000000007E-5</v>
      </c>
      <c r="AU40" s="27" t="s">
        <v>74</v>
      </c>
      <c r="AV40" s="27">
        <v>0</v>
      </c>
      <c r="AW40" s="27">
        <v>2</v>
      </c>
      <c r="AX40" s="27">
        <v>34787834</v>
      </c>
      <c r="AY40" s="27">
        <v>1</v>
      </c>
      <c r="AZ40" s="27">
        <v>0</v>
      </c>
      <c r="BA40" s="27">
        <v>40</v>
      </c>
      <c r="BB40" s="27">
        <v>0</v>
      </c>
      <c r="BC40" s="27">
        <v>0</v>
      </c>
      <c r="BD40" s="27">
        <v>0</v>
      </c>
      <c r="BE40" s="27">
        <v>0</v>
      </c>
      <c r="BF40" s="27">
        <v>0</v>
      </c>
      <c r="BG40" s="27">
        <v>0</v>
      </c>
      <c r="BH40" s="27">
        <v>0</v>
      </c>
      <c r="BI40" s="27">
        <v>0</v>
      </c>
      <c r="BJ40" s="27">
        <v>0</v>
      </c>
      <c r="BK40" s="27">
        <v>0</v>
      </c>
      <c r="BL40" s="27">
        <v>0</v>
      </c>
      <c r="BM40" s="27">
        <v>0</v>
      </c>
      <c r="BN40" s="27">
        <v>0</v>
      </c>
      <c r="BO40" s="27">
        <v>0</v>
      </c>
      <c r="BP40" s="27">
        <v>0</v>
      </c>
      <c r="BQ40" s="27">
        <v>0</v>
      </c>
      <c r="BR40" s="27">
        <v>0</v>
      </c>
      <c r="BS40" s="27">
        <v>0</v>
      </c>
      <c r="BT40" s="27">
        <v>0</v>
      </c>
      <c r="BU40" s="27">
        <v>0</v>
      </c>
      <c r="BV40" s="27">
        <v>0</v>
      </c>
      <c r="BW40" s="27">
        <v>0</v>
      </c>
      <c r="CX40" s="27">
        <f>Y40*Source!I31</f>
        <v>2.4000000000000003E-6</v>
      </c>
      <c r="CY40" s="27">
        <f>AA40</f>
        <v>68050</v>
      </c>
      <c r="CZ40" s="27">
        <f>AE40</f>
        <v>68050</v>
      </c>
      <c r="DA40" s="27">
        <f>AI40</f>
        <v>1</v>
      </c>
      <c r="DB40" s="27">
        <f>ROUND(ROUND(AT40*CZ40,2),6)</f>
        <v>5.44</v>
      </c>
      <c r="DC40" s="27">
        <f>ROUND(ROUND(AT40*AG40,2),6)</f>
        <v>0</v>
      </c>
    </row>
    <row r="41" spans="1:107" x14ac:dyDescent="0.2">
      <c r="A41" s="27">
        <f>ROW(Source!A31)</f>
        <v>31</v>
      </c>
      <c r="B41" s="27">
        <v>34787475</v>
      </c>
      <c r="C41" s="27">
        <v>34787513</v>
      </c>
      <c r="D41" s="27">
        <v>33160173</v>
      </c>
      <c r="E41" s="27">
        <v>1</v>
      </c>
      <c r="F41" s="27">
        <v>1</v>
      </c>
      <c r="G41" s="27">
        <v>1</v>
      </c>
      <c r="H41" s="27">
        <v>3</v>
      </c>
      <c r="I41" s="27" t="s">
        <v>270</v>
      </c>
      <c r="J41" s="27" t="s">
        <v>269</v>
      </c>
      <c r="K41" s="27" t="s">
        <v>268</v>
      </c>
      <c r="L41" s="27">
        <v>1348</v>
      </c>
      <c r="N41" s="27">
        <v>1009</v>
      </c>
      <c r="O41" s="27" t="s">
        <v>267</v>
      </c>
      <c r="P41" s="27" t="s">
        <v>267</v>
      </c>
      <c r="Q41" s="27">
        <v>1000</v>
      </c>
      <c r="W41" s="27">
        <v>0</v>
      </c>
      <c r="X41" s="27">
        <v>-811010240</v>
      </c>
      <c r="Y41" s="27">
        <v>1E-4</v>
      </c>
      <c r="AA41" s="27">
        <v>70200</v>
      </c>
      <c r="AB41" s="27">
        <v>0</v>
      </c>
      <c r="AC41" s="27">
        <v>0</v>
      </c>
      <c r="AD41" s="27">
        <v>0</v>
      </c>
      <c r="AE41" s="27">
        <v>70200</v>
      </c>
      <c r="AF41" s="27">
        <v>0</v>
      </c>
      <c r="AG41" s="27">
        <v>0</v>
      </c>
      <c r="AH41" s="27">
        <v>0</v>
      </c>
      <c r="AI41" s="27">
        <v>1</v>
      </c>
      <c r="AJ41" s="27">
        <v>1</v>
      </c>
      <c r="AK41" s="27">
        <v>1</v>
      </c>
      <c r="AL41" s="27">
        <v>1</v>
      </c>
      <c r="AN41" s="27">
        <v>0</v>
      </c>
      <c r="AO41" s="27">
        <v>1</v>
      </c>
      <c r="AP41" s="27">
        <v>0</v>
      </c>
      <c r="AQ41" s="27">
        <v>0</v>
      </c>
      <c r="AR41" s="27">
        <v>0</v>
      </c>
      <c r="AS41" s="27" t="s">
        <v>74</v>
      </c>
      <c r="AT41" s="27">
        <v>1E-4</v>
      </c>
      <c r="AU41" s="27" t="s">
        <v>74</v>
      </c>
      <c r="AV41" s="27">
        <v>0</v>
      </c>
      <c r="AW41" s="27">
        <v>2</v>
      </c>
      <c r="AX41" s="27">
        <v>34787835</v>
      </c>
      <c r="AY41" s="27">
        <v>1</v>
      </c>
      <c r="AZ41" s="27">
        <v>0</v>
      </c>
      <c r="BA41" s="27">
        <v>41</v>
      </c>
      <c r="BB41" s="27">
        <v>0</v>
      </c>
      <c r="BC41" s="27">
        <v>0</v>
      </c>
      <c r="BD41" s="27">
        <v>0</v>
      </c>
      <c r="BE41" s="27">
        <v>0</v>
      </c>
      <c r="BF41" s="27">
        <v>0</v>
      </c>
      <c r="BG41" s="27">
        <v>0</v>
      </c>
      <c r="BH41" s="27">
        <v>0</v>
      </c>
      <c r="BI41" s="27">
        <v>0</v>
      </c>
      <c r="BJ41" s="27">
        <v>0</v>
      </c>
      <c r="BK41" s="27">
        <v>0</v>
      </c>
      <c r="BL41" s="27">
        <v>0</v>
      </c>
      <c r="BM41" s="27">
        <v>0</v>
      </c>
      <c r="BN41" s="27">
        <v>0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7">
        <v>0</v>
      </c>
      <c r="BW41" s="27">
        <v>0</v>
      </c>
      <c r="CX41" s="27">
        <f>Y41*Source!I31</f>
        <v>3.0000000000000001E-6</v>
      </c>
      <c r="CY41" s="27">
        <f>AA41</f>
        <v>70200</v>
      </c>
      <c r="CZ41" s="27">
        <f>AE41</f>
        <v>70200</v>
      </c>
      <c r="DA41" s="27">
        <f>AI41</f>
        <v>1</v>
      </c>
      <c r="DB41" s="27">
        <f>ROUND(ROUND(AT41*CZ41,2),6)</f>
        <v>7.02</v>
      </c>
      <c r="DC41" s="27">
        <f>ROUND(ROUND(AT41*AG41,2),6)</f>
        <v>0</v>
      </c>
    </row>
    <row r="42" spans="1:107" x14ac:dyDescent="0.2">
      <c r="A42" s="27">
        <f>ROW(Source!A31)</f>
        <v>31</v>
      </c>
      <c r="B42" s="27">
        <v>34787475</v>
      </c>
      <c r="C42" s="27">
        <v>34787513</v>
      </c>
      <c r="D42" s="27">
        <v>33216186</v>
      </c>
      <c r="E42" s="27">
        <v>1</v>
      </c>
      <c r="F42" s="27">
        <v>1</v>
      </c>
      <c r="G42" s="27">
        <v>1</v>
      </c>
      <c r="H42" s="27">
        <v>3</v>
      </c>
      <c r="I42" s="27" t="s">
        <v>266</v>
      </c>
      <c r="J42" s="27" t="s">
        <v>265</v>
      </c>
      <c r="K42" s="27" t="s">
        <v>264</v>
      </c>
      <c r="L42" s="27">
        <v>1425</v>
      </c>
      <c r="N42" s="27">
        <v>1013</v>
      </c>
      <c r="O42" s="27" t="s">
        <v>211</v>
      </c>
      <c r="P42" s="27" t="s">
        <v>211</v>
      </c>
      <c r="Q42" s="27">
        <v>1</v>
      </c>
      <c r="W42" s="27">
        <v>0</v>
      </c>
      <c r="X42" s="27">
        <v>1827983014</v>
      </c>
      <c r="Y42" s="27">
        <v>1.02</v>
      </c>
      <c r="AA42" s="27">
        <v>63</v>
      </c>
      <c r="AB42" s="27">
        <v>0</v>
      </c>
      <c r="AC42" s="27">
        <v>0</v>
      </c>
      <c r="AD42" s="27">
        <v>0</v>
      </c>
      <c r="AE42" s="27">
        <v>63</v>
      </c>
      <c r="AF42" s="27">
        <v>0</v>
      </c>
      <c r="AG42" s="27">
        <v>0</v>
      </c>
      <c r="AH42" s="27">
        <v>0</v>
      </c>
      <c r="AI42" s="27">
        <v>1</v>
      </c>
      <c r="AJ42" s="27">
        <v>1</v>
      </c>
      <c r="AK42" s="27">
        <v>1</v>
      </c>
      <c r="AL42" s="27">
        <v>1</v>
      </c>
      <c r="AN42" s="27">
        <v>0</v>
      </c>
      <c r="AO42" s="27">
        <v>1</v>
      </c>
      <c r="AP42" s="27">
        <v>0</v>
      </c>
      <c r="AQ42" s="27">
        <v>0</v>
      </c>
      <c r="AR42" s="27">
        <v>0</v>
      </c>
      <c r="AS42" s="27" t="s">
        <v>74</v>
      </c>
      <c r="AT42" s="27">
        <v>1.02</v>
      </c>
      <c r="AU42" s="27" t="s">
        <v>74</v>
      </c>
      <c r="AV42" s="27">
        <v>0</v>
      </c>
      <c r="AW42" s="27">
        <v>2</v>
      </c>
      <c r="AX42" s="27">
        <v>34787836</v>
      </c>
      <c r="AY42" s="27">
        <v>1</v>
      </c>
      <c r="AZ42" s="27">
        <v>0</v>
      </c>
      <c r="BA42" s="27">
        <v>42</v>
      </c>
      <c r="BB42" s="27">
        <v>0</v>
      </c>
      <c r="BC42" s="27">
        <v>0</v>
      </c>
      <c r="BD42" s="27">
        <v>0</v>
      </c>
      <c r="BE42" s="27">
        <v>0</v>
      </c>
      <c r="BF42" s="27">
        <v>0</v>
      </c>
      <c r="BG42" s="27">
        <v>0</v>
      </c>
      <c r="BH42" s="27">
        <v>0</v>
      </c>
      <c r="BI42" s="27">
        <v>0</v>
      </c>
      <c r="BJ42" s="27">
        <v>0</v>
      </c>
      <c r="BK42" s="27">
        <v>0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0</v>
      </c>
      <c r="BR42" s="27">
        <v>0</v>
      </c>
      <c r="BS42" s="27">
        <v>0</v>
      </c>
      <c r="BT42" s="27">
        <v>0</v>
      </c>
      <c r="BU42" s="27">
        <v>0</v>
      </c>
      <c r="BV42" s="27">
        <v>0</v>
      </c>
      <c r="BW42" s="27">
        <v>0</v>
      </c>
      <c r="CX42" s="27">
        <f>Y42*Source!I31</f>
        <v>3.0599999999999999E-2</v>
      </c>
      <c r="CY42" s="27">
        <f>AA42</f>
        <v>63</v>
      </c>
      <c r="CZ42" s="27">
        <f>AE42</f>
        <v>63</v>
      </c>
      <c r="DA42" s="27">
        <f>AI42</f>
        <v>1</v>
      </c>
      <c r="DB42" s="27">
        <f>ROUND(ROUND(AT42*CZ42,2),6)</f>
        <v>64.260000000000005</v>
      </c>
      <c r="DC42" s="27">
        <f>ROUND(ROUND(AT42*AG42,2),6)</f>
        <v>0</v>
      </c>
    </row>
    <row r="43" spans="1:107" x14ac:dyDescent="0.2">
      <c r="A43" s="27">
        <f>ROW(Source!A31)</f>
        <v>31</v>
      </c>
      <c r="B43" s="27">
        <v>34787475</v>
      </c>
      <c r="C43" s="27">
        <v>34787513</v>
      </c>
      <c r="D43" s="27">
        <v>33090299</v>
      </c>
      <c r="E43" s="27">
        <v>66</v>
      </c>
      <c r="F43" s="27">
        <v>1</v>
      </c>
      <c r="G43" s="27">
        <v>1</v>
      </c>
      <c r="H43" s="27">
        <v>3</v>
      </c>
      <c r="I43" s="27" t="s">
        <v>263</v>
      </c>
      <c r="J43" s="27" t="s">
        <v>74</v>
      </c>
      <c r="K43" s="27" t="s">
        <v>262</v>
      </c>
      <c r="L43" s="27">
        <v>1374</v>
      </c>
      <c r="N43" s="27">
        <v>1013</v>
      </c>
      <c r="O43" s="27" t="s">
        <v>261</v>
      </c>
      <c r="P43" s="27" t="s">
        <v>261</v>
      </c>
      <c r="Q43" s="27">
        <v>1</v>
      </c>
      <c r="W43" s="27">
        <v>0</v>
      </c>
      <c r="X43" s="27">
        <v>-1731369543</v>
      </c>
      <c r="Y43" s="27">
        <v>3.07</v>
      </c>
      <c r="AA43" s="27">
        <v>1</v>
      </c>
      <c r="AB43" s="27">
        <v>0</v>
      </c>
      <c r="AC43" s="27">
        <v>0</v>
      </c>
      <c r="AD43" s="27">
        <v>0</v>
      </c>
      <c r="AE43" s="27">
        <v>1</v>
      </c>
      <c r="AF43" s="27">
        <v>0</v>
      </c>
      <c r="AG43" s="27">
        <v>0</v>
      </c>
      <c r="AH43" s="27">
        <v>0</v>
      </c>
      <c r="AI43" s="27">
        <v>1</v>
      </c>
      <c r="AJ43" s="27">
        <v>1</v>
      </c>
      <c r="AK43" s="27">
        <v>1</v>
      </c>
      <c r="AL43" s="27">
        <v>1</v>
      </c>
      <c r="AN43" s="27">
        <v>0</v>
      </c>
      <c r="AO43" s="27">
        <v>1</v>
      </c>
      <c r="AP43" s="27">
        <v>0</v>
      </c>
      <c r="AQ43" s="27">
        <v>0</v>
      </c>
      <c r="AR43" s="27">
        <v>0</v>
      </c>
      <c r="AS43" s="27" t="s">
        <v>74</v>
      </c>
      <c r="AT43" s="27">
        <v>3.07</v>
      </c>
      <c r="AU43" s="27" t="s">
        <v>74</v>
      </c>
      <c r="AV43" s="27">
        <v>0</v>
      </c>
      <c r="AW43" s="27">
        <v>2</v>
      </c>
      <c r="AX43" s="27">
        <v>34787837</v>
      </c>
      <c r="AY43" s="27">
        <v>1</v>
      </c>
      <c r="AZ43" s="27">
        <v>0</v>
      </c>
      <c r="BA43" s="27">
        <v>43</v>
      </c>
      <c r="BB43" s="27">
        <v>0</v>
      </c>
      <c r="BC43" s="27">
        <v>0</v>
      </c>
      <c r="BD43" s="27">
        <v>0</v>
      </c>
      <c r="BE43" s="27">
        <v>0</v>
      </c>
      <c r="BF43" s="27">
        <v>0</v>
      </c>
      <c r="BG43" s="27">
        <v>0</v>
      </c>
      <c r="BH43" s="27">
        <v>0</v>
      </c>
      <c r="BI43" s="27">
        <v>0</v>
      </c>
      <c r="BJ43" s="27">
        <v>0</v>
      </c>
      <c r="BK43" s="27">
        <v>0</v>
      </c>
      <c r="BL43" s="27">
        <v>0</v>
      </c>
      <c r="BM43" s="27">
        <v>0</v>
      </c>
      <c r="BN43" s="27">
        <v>0</v>
      </c>
      <c r="BO43" s="27">
        <v>0</v>
      </c>
      <c r="BP43" s="27">
        <v>0</v>
      </c>
      <c r="BQ43" s="27">
        <v>0</v>
      </c>
      <c r="BR43" s="27">
        <v>0</v>
      </c>
      <c r="BS43" s="27">
        <v>0</v>
      </c>
      <c r="BT43" s="27">
        <v>0</v>
      </c>
      <c r="BU43" s="27">
        <v>0</v>
      </c>
      <c r="BV43" s="27">
        <v>0</v>
      </c>
      <c r="BW43" s="27">
        <v>0</v>
      </c>
      <c r="CX43" s="27">
        <f>Y43*Source!I31</f>
        <v>9.2099999999999987E-2</v>
      </c>
      <c r="CY43" s="27">
        <f>AA43</f>
        <v>1</v>
      </c>
      <c r="CZ43" s="27">
        <f>AE43</f>
        <v>1</v>
      </c>
      <c r="DA43" s="27">
        <f>AI43</f>
        <v>1</v>
      </c>
      <c r="DB43" s="27">
        <f>ROUND(ROUND(AT43*CZ43,2),6)</f>
        <v>3.07</v>
      </c>
      <c r="DC43" s="27">
        <f>ROUND(ROUND(AT43*AG43,2),6)</f>
        <v>0</v>
      </c>
    </row>
    <row r="44" spans="1:107" x14ac:dyDescent="0.2">
      <c r="A44" s="27">
        <f>ROW(Source!A103)</f>
        <v>103</v>
      </c>
      <c r="B44" s="27">
        <v>34787475</v>
      </c>
      <c r="C44" s="27">
        <v>34787813</v>
      </c>
      <c r="D44" s="27">
        <v>33085109</v>
      </c>
      <c r="E44" s="27">
        <v>66</v>
      </c>
      <c r="F44" s="27">
        <v>1</v>
      </c>
      <c r="G44" s="27">
        <v>1</v>
      </c>
      <c r="H44" s="27">
        <v>1</v>
      </c>
      <c r="I44" s="27" t="s">
        <v>260</v>
      </c>
      <c r="J44" s="27" t="s">
        <v>74</v>
      </c>
      <c r="K44" s="27" t="s">
        <v>259</v>
      </c>
      <c r="L44" s="27">
        <v>1369</v>
      </c>
      <c r="N44" s="27">
        <v>1013</v>
      </c>
      <c r="O44" s="27" t="s">
        <v>250</v>
      </c>
      <c r="P44" s="27" t="s">
        <v>250</v>
      </c>
      <c r="Q44" s="27">
        <v>1</v>
      </c>
      <c r="W44" s="27">
        <v>0</v>
      </c>
      <c r="X44" s="27">
        <v>-66267284</v>
      </c>
      <c r="Y44" s="27">
        <v>35.700000000000003</v>
      </c>
      <c r="AA44" s="27">
        <v>0</v>
      </c>
      <c r="AB44" s="27">
        <v>0</v>
      </c>
      <c r="AC44" s="27">
        <v>0</v>
      </c>
      <c r="AD44" s="27">
        <v>15.49</v>
      </c>
      <c r="AE44" s="27">
        <v>0</v>
      </c>
      <c r="AF44" s="27">
        <v>0</v>
      </c>
      <c r="AG44" s="27">
        <v>0</v>
      </c>
      <c r="AH44" s="27">
        <v>15.49</v>
      </c>
      <c r="AI44" s="27">
        <v>1</v>
      </c>
      <c r="AJ44" s="27">
        <v>1</v>
      </c>
      <c r="AK44" s="27">
        <v>1</v>
      </c>
      <c r="AL44" s="27">
        <v>1</v>
      </c>
      <c r="AN44" s="27">
        <v>0</v>
      </c>
      <c r="AO44" s="27">
        <v>1</v>
      </c>
      <c r="AP44" s="27">
        <v>0</v>
      </c>
      <c r="AQ44" s="27">
        <v>0</v>
      </c>
      <c r="AR44" s="27">
        <v>0</v>
      </c>
      <c r="AS44" s="27" t="s">
        <v>74</v>
      </c>
      <c r="AT44" s="27">
        <v>35.700000000000003</v>
      </c>
      <c r="AU44" s="27" t="s">
        <v>74</v>
      </c>
      <c r="AV44" s="27">
        <v>1</v>
      </c>
      <c r="AW44" s="27">
        <v>2</v>
      </c>
      <c r="AX44" s="27">
        <v>34787983</v>
      </c>
      <c r="AY44" s="27">
        <v>1</v>
      </c>
      <c r="AZ44" s="27">
        <v>0</v>
      </c>
      <c r="BA44" s="27">
        <v>44</v>
      </c>
      <c r="BB44" s="27">
        <v>0</v>
      </c>
      <c r="BC44" s="27">
        <v>0</v>
      </c>
      <c r="BD44" s="27">
        <v>0</v>
      </c>
      <c r="BE44" s="27">
        <v>0</v>
      </c>
      <c r="BF44" s="27">
        <v>0</v>
      </c>
      <c r="BG44" s="27">
        <v>0</v>
      </c>
      <c r="BH44" s="27">
        <v>0</v>
      </c>
      <c r="BI44" s="27">
        <v>0</v>
      </c>
      <c r="BJ44" s="27">
        <v>0</v>
      </c>
      <c r="BK44" s="27">
        <v>0</v>
      </c>
      <c r="BL44" s="27">
        <v>0</v>
      </c>
      <c r="BM44" s="27">
        <v>0</v>
      </c>
      <c r="BN44" s="27">
        <v>0</v>
      </c>
      <c r="BO44" s="27">
        <v>0</v>
      </c>
      <c r="BP44" s="27">
        <v>0</v>
      </c>
      <c r="BQ44" s="27">
        <v>0</v>
      </c>
      <c r="BR44" s="27">
        <v>0</v>
      </c>
      <c r="BS44" s="27">
        <v>0</v>
      </c>
      <c r="BT44" s="27">
        <v>0</v>
      </c>
      <c r="BU44" s="27">
        <v>0</v>
      </c>
      <c r="BV44" s="27">
        <v>0</v>
      </c>
      <c r="BW44" s="27">
        <v>0</v>
      </c>
      <c r="CX44" s="27">
        <f>Y44*Source!I103</f>
        <v>35.700000000000003</v>
      </c>
      <c r="CY44" s="27">
        <f>AD44</f>
        <v>15.49</v>
      </c>
      <c r="CZ44" s="27">
        <f>AH44</f>
        <v>15.49</v>
      </c>
      <c r="DA44" s="27">
        <f>AL44</f>
        <v>1</v>
      </c>
      <c r="DB44" s="27">
        <f>ROUND(ROUND(AT44*CZ44,2),6)</f>
        <v>552.99</v>
      </c>
      <c r="DC44" s="27">
        <f>ROUND(ROUND(AT44*AG44,2),6)</f>
        <v>0</v>
      </c>
    </row>
    <row r="45" spans="1:107" x14ac:dyDescent="0.2">
      <c r="A45" s="27">
        <f>ROW(Source!A103)</f>
        <v>103</v>
      </c>
      <c r="B45" s="27">
        <v>34787475</v>
      </c>
      <c r="C45" s="27">
        <v>34787813</v>
      </c>
      <c r="D45" s="27">
        <v>33085111</v>
      </c>
      <c r="E45" s="27">
        <v>66</v>
      </c>
      <c r="F45" s="27">
        <v>1</v>
      </c>
      <c r="G45" s="27">
        <v>1</v>
      </c>
      <c r="H45" s="27">
        <v>1</v>
      </c>
      <c r="I45" s="27" t="s">
        <v>258</v>
      </c>
      <c r="J45" s="27" t="s">
        <v>74</v>
      </c>
      <c r="K45" s="27" t="s">
        <v>257</v>
      </c>
      <c r="L45" s="27">
        <v>1369</v>
      </c>
      <c r="N45" s="27">
        <v>1013</v>
      </c>
      <c r="O45" s="27" t="s">
        <v>250</v>
      </c>
      <c r="P45" s="27" t="s">
        <v>250</v>
      </c>
      <c r="Q45" s="27">
        <v>1</v>
      </c>
      <c r="W45" s="27">
        <v>0</v>
      </c>
      <c r="X45" s="27">
        <v>-2140504649</v>
      </c>
      <c r="Y45" s="27">
        <v>5.0999999999999996</v>
      </c>
      <c r="AA45" s="27">
        <v>0</v>
      </c>
      <c r="AB45" s="27">
        <v>0</v>
      </c>
      <c r="AC45" s="27">
        <v>0</v>
      </c>
      <c r="AD45" s="27">
        <v>14.09</v>
      </c>
      <c r="AE45" s="27">
        <v>0</v>
      </c>
      <c r="AF45" s="27">
        <v>0</v>
      </c>
      <c r="AG45" s="27">
        <v>0</v>
      </c>
      <c r="AH45" s="27">
        <v>14.09</v>
      </c>
      <c r="AI45" s="27">
        <v>1</v>
      </c>
      <c r="AJ45" s="27">
        <v>1</v>
      </c>
      <c r="AK45" s="27">
        <v>1</v>
      </c>
      <c r="AL45" s="27">
        <v>1</v>
      </c>
      <c r="AN45" s="27">
        <v>0</v>
      </c>
      <c r="AO45" s="27">
        <v>1</v>
      </c>
      <c r="AP45" s="27">
        <v>0</v>
      </c>
      <c r="AQ45" s="27">
        <v>0</v>
      </c>
      <c r="AR45" s="27">
        <v>0</v>
      </c>
      <c r="AS45" s="27" t="s">
        <v>74</v>
      </c>
      <c r="AT45" s="27">
        <v>5.0999999999999996</v>
      </c>
      <c r="AU45" s="27" t="s">
        <v>74</v>
      </c>
      <c r="AV45" s="27">
        <v>1</v>
      </c>
      <c r="AW45" s="27">
        <v>2</v>
      </c>
      <c r="AX45" s="27">
        <v>34787984</v>
      </c>
      <c r="AY45" s="27">
        <v>1</v>
      </c>
      <c r="AZ45" s="27">
        <v>0</v>
      </c>
      <c r="BA45" s="27">
        <v>45</v>
      </c>
      <c r="BB45" s="27">
        <v>0</v>
      </c>
      <c r="BC45" s="27">
        <v>0</v>
      </c>
      <c r="BD45" s="27">
        <v>0</v>
      </c>
      <c r="BE45" s="27">
        <v>0</v>
      </c>
      <c r="BF45" s="27">
        <v>0</v>
      </c>
      <c r="BG45" s="27">
        <v>0</v>
      </c>
      <c r="BH45" s="27">
        <v>0</v>
      </c>
      <c r="BI45" s="27">
        <v>0</v>
      </c>
      <c r="BJ45" s="27">
        <v>0</v>
      </c>
      <c r="BK45" s="27">
        <v>0</v>
      </c>
      <c r="BL45" s="27">
        <v>0</v>
      </c>
      <c r="BM45" s="27">
        <v>0</v>
      </c>
      <c r="BN45" s="27">
        <v>0</v>
      </c>
      <c r="BO45" s="27">
        <v>0</v>
      </c>
      <c r="BP45" s="27">
        <v>0</v>
      </c>
      <c r="BQ45" s="27">
        <v>0</v>
      </c>
      <c r="BR45" s="27">
        <v>0</v>
      </c>
      <c r="BS45" s="27">
        <v>0</v>
      </c>
      <c r="BT45" s="27">
        <v>0</v>
      </c>
      <c r="BU45" s="27">
        <v>0</v>
      </c>
      <c r="BV45" s="27">
        <v>0</v>
      </c>
      <c r="BW45" s="27">
        <v>0</v>
      </c>
      <c r="CX45" s="27">
        <f>Y45*Source!I103</f>
        <v>5.0999999999999996</v>
      </c>
      <c r="CY45" s="27">
        <f>AD45</f>
        <v>14.09</v>
      </c>
      <c r="CZ45" s="27">
        <f>AH45</f>
        <v>14.09</v>
      </c>
      <c r="DA45" s="27">
        <f>AL45</f>
        <v>1</v>
      </c>
      <c r="DB45" s="27">
        <f>ROUND(ROUND(AT45*CZ45,2),6)</f>
        <v>71.86</v>
      </c>
      <c r="DC45" s="27">
        <f>ROUND(ROUND(AT45*AG45,2),6)</f>
        <v>0</v>
      </c>
    </row>
    <row r="46" spans="1:107" x14ac:dyDescent="0.2">
      <c r="A46" s="27">
        <f>ROW(Source!A103)</f>
        <v>103</v>
      </c>
      <c r="B46" s="27">
        <v>34787475</v>
      </c>
      <c r="C46" s="27">
        <v>34787813</v>
      </c>
      <c r="D46" s="27">
        <v>33085120</v>
      </c>
      <c r="E46" s="27">
        <v>66</v>
      </c>
      <c r="F46" s="27">
        <v>1</v>
      </c>
      <c r="G46" s="27">
        <v>1</v>
      </c>
      <c r="H46" s="27">
        <v>1</v>
      </c>
      <c r="I46" s="27" t="s">
        <v>256</v>
      </c>
      <c r="J46" s="27" t="s">
        <v>74</v>
      </c>
      <c r="K46" s="27" t="s">
        <v>255</v>
      </c>
      <c r="L46" s="27">
        <v>1369</v>
      </c>
      <c r="N46" s="27">
        <v>1013</v>
      </c>
      <c r="O46" s="27" t="s">
        <v>250</v>
      </c>
      <c r="P46" s="27" t="s">
        <v>250</v>
      </c>
      <c r="Q46" s="27">
        <v>1</v>
      </c>
      <c r="W46" s="27">
        <v>0</v>
      </c>
      <c r="X46" s="27">
        <v>1117864519</v>
      </c>
      <c r="Y46" s="27">
        <v>61.2</v>
      </c>
      <c r="AA46" s="27">
        <v>0</v>
      </c>
      <c r="AB46" s="27">
        <v>0</v>
      </c>
      <c r="AC46" s="27">
        <v>0</v>
      </c>
      <c r="AD46" s="27">
        <v>16.93</v>
      </c>
      <c r="AE46" s="27">
        <v>0</v>
      </c>
      <c r="AF46" s="27">
        <v>0</v>
      </c>
      <c r="AG46" s="27">
        <v>0</v>
      </c>
      <c r="AH46" s="27">
        <v>16.93</v>
      </c>
      <c r="AI46" s="27">
        <v>1</v>
      </c>
      <c r="AJ46" s="27">
        <v>1</v>
      </c>
      <c r="AK46" s="27">
        <v>1</v>
      </c>
      <c r="AL46" s="27">
        <v>1</v>
      </c>
      <c r="AN46" s="27">
        <v>0</v>
      </c>
      <c r="AO46" s="27">
        <v>1</v>
      </c>
      <c r="AP46" s="27">
        <v>0</v>
      </c>
      <c r="AQ46" s="27">
        <v>0</v>
      </c>
      <c r="AR46" s="27">
        <v>0</v>
      </c>
      <c r="AS46" s="27" t="s">
        <v>74</v>
      </c>
      <c r="AT46" s="27">
        <v>61.2</v>
      </c>
      <c r="AU46" s="27" t="s">
        <v>74</v>
      </c>
      <c r="AV46" s="27">
        <v>1</v>
      </c>
      <c r="AW46" s="27">
        <v>2</v>
      </c>
      <c r="AX46" s="27">
        <v>34787985</v>
      </c>
      <c r="AY46" s="27">
        <v>1</v>
      </c>
      <c r="AZ46" s="27">
        <v>0</v>
      </c>
      <c r="BA46" s="27">
        <v>46</v>
      </c>
      <c r="BB46" s="27">
        <v>0</v>
      </c>
      <c r="BC46" s="27">
        <v>0</v>
      </c>
      <c r="BD46" s="27">
        <v>0</v>
      </c>
      <c r="BE46" s="27">
        <v>0</v>
      </c>
      <c r="BF46" s="27">
        <v>0</v>
      </c>
      <c r="BG46" s="27">
        <v>0</v>
      </c>
      <c r="BH46" s="27">
        <v>0</v>
      </c>
      <c r="BI46" s="27">
        <v>0</v>
      </c>
      <c r="BJ46" s="27">
        <v>0</v>
      </c>
      <c r="BK46" s="27">
        <v>0</v>
      </c>
      <c r="BL46" s="27">
        <v>0</v>
      </c>
      <c r="BM46" s="27">
        <v>0</v>
      </c>
      <c r="BN46" s="27">
        <v>0</v>
      </c>
      <c r="BO46" s="27">
        <v>0</v>
      </c>
      <c r="BP46" s="27">
        <v>0</v>
      </c>
      <c r="BQ46" s="27">
        <v>0</v>
      </c>
      <c r="BR46" s="27">
        <v>0</v>
      </c>
      <c r="BS46" s="27">
        <v>0</v>
      </c>
      <c r="BT46" s="27">
        <v>0</v>
      </c>
      <c r="BU46" s="27">
        <v>0</v>
      </c>
      <c r="BV46" s="27">
        <v>0</v>
      </c>
      <c r="BW46" s="27">
        <v>0</v>
      </c>
      <c r="CX46" s="27">
        <f>Y46*Source!I103</f>
        <v>61.2</v>
      </c>
      <c r="CY46" s="27">
        <f>AD46</f>
        <v>16.93</v>
      </c>
      <c r="CZ46" s="27">
        <f>AH46</f>
        <v>16.93</v>
      </c>
      <c r="DA46" s="27">
        <f>AL46</f>
        <v>1</v>
      </c>
      <c r="DB46" s="27">
        <f>ROUND(ROUND(AT46*CZ46,2),6)</f>
        <v>1036.1199999999999</v>
      </c>
      <c r="DC46" s="27">
        <f>ROUND(ROUND(AT46*AG46,2),6)</f>
        <v>0</v>
      </c>
    </row>
    <row r="47" spans="1:107" x14ac:dyDescent="0.2">
      <c r="A47" s="27">
        <f>ROW(Source!A104)</f>
        <v>104</v>
      </c>
      <c r="B47" s="27">
        <v>34787475</v>
      </c>
      <c r="C47" s="27">
        <v>34787979</v>
      </c>
      <c r="D47" s="27">
        <v>33085109</v>
      </c>
      <c r="E47" s="27">
        <v>66</v>
      </c>
      <c r="F47" s="27">
        <v>1</v>
      </c>
      <c r="G47" s="27">
        <v>1</v>
      </c>
      <c r="H47" s="27">
        <v>1</v>
      </c>
      <c r="I47" s="27" t="s">
        <v>260</v>
      </c>
      <c r="J47" s="27" t="s">
        <v>74</v>
      </c>
      <c r="K47" s="27" t="s">
        <v>259</v>
      </c>
      <c r="L47" s="27">
        <v>1369</v>
      </c>
      <c r="N47" s="27">
        <v>1013</v>
      </c>
      <c r="O47" s="27" t="s">
        <v>250</v>
      </c>
      <c r="P47" s="27" t="s">
        <v>250</v>
      </c>
      <c r="Q47" s="27">
        <v>1</v>
      </c>
      <c r="W47" s="27">
        <v>0</v>
      </c>
      <c r="X47" s="27">
        <v>-66267284</v>
      </c>
      <c r="Y47" s="27">
        <v>3.5350000000000001</v>
      </c>
      <c r="AA47" s="27">
        <v>0</v>
      </c>
      <c r="AB47" s="27">
        <v>0</v>
      </c>
      <c r="AC47" s="27">
        <v>0</v>
      </c>
      <c r="AD47" s="27">
        <v>15.49</v>
      </c>
      <c r="AE47" s="27">
        <v>0</v>
      </c>
      <c r="AF47" s="27">
        <v>0</v>
      </c>
      <c r="AG47" s="27">
        <v>0</v>
      </c>
      <c r="AH47" s="27">
        <v>15.49</v>
      </c>
      <c r="AI47" s="27">
        <v>1</v>
      </c>
      <c r="AJ47" s="27">
        <v>1</v>
      </c>
      <c r="AK47" s="27">
        <v>1</v>
      </c>
      <c r="AL47" s="27">
        <v>1</v>
      </c>
      <c r="AN47" s="27">
        <v>0</v>
      </c>
      <c r="AO47" s="27">
        <v>1</v>
      </c>
      <c r="AP47" s="27">
        <v>0</v>
      </c>
      <c r="AQ47" s="27">
        <v>0</v>
      </c>
      <c r="AR47" s="27">
        <v>0</v>
      </c>
      <c r="AS47" s="27" t="s">
        <v>74</v>
      </c>
      <c r="AT47" s="27">
        <v>3.5350000000000001</v>
      </c>
      <c r="AU47" s="27" t="s">
        <v>74</v>
      </c>
      <c r="AV47" s="27">
        <v>1</v>
      </c>
      <c r="AW47" s="27">
        <v>2</v>
      </c>
      <c r="AX47" s="27">
        <v>34787980</v>
      </c>
      <c r="AY47" s="27">
        <v>1</v>
      </c>
      <c r="AZ47" s="27">
        <v>0</v>
      </c>
      <c r="BA47" s="27">
        <v>47</v>
      </c>
      <c r="BB47" s="27">
        <v>0</v>
      </c>
      <c r="BC47" s="27">
        <v>0</v>
      </c>
      <c r="BD47" s="27">
        <v>0</v>
      </c>
      <c r="BE47" s="27">
        <v>0</v>
      </c>
      <c r="BF47" s="27">
        <v>0</v>
      </c>
      <c r="BG47" s="27">
        <v>0</v>
      </c>
      <c r="BH47" s="27">
        <v>0</v>
      </c>
      <c r="BI47" s="27">
        <v>0</v>
      </c>
      <c r="BJ47" s="27">
        <v>0</v>
      </c>
      <c r="BK47" s="27">
        <v>0</v>
      </c>
      <c r="BL47" s="27">
        <v>0</v>
      </c>
      <c r="BM47" s="27">
        <v>0</v>
      </c>
      <c r="BN47" s="27">
        <v>0</v>
      </c>
      <c r="BO47" s="27">
        <v>0</v>
      </c>
      <c r="BP47" s="27">
        <v>0</v>
      </c>
      <c r="BQ47" s="27">
        <v>0</v>
      </c>
      <c r="BR47" s="27">
        <v>0</v>
      </c>
      <c r="BS47" s="27">
        <v>0</v>
      </c>
      <c r="BT47" s="27">
        <v>0</v>
      </c>
      <c r="BU47" s="27">
        <v>0</v>
      </c>
      <c r="BV47" s="27">
        <v>0</v>
      </c>
      <c r="BW47" s="27">
        <v>0</v>
      </c>
      <c r="CX47" s="27">
        <f>Y47*Source!I104</f>
        <v>24.745000000000001</v>
      </c>
      <c r="CY47" s="27">
        <f>AD47</f>
        <v>15.49</v>
      </c>
      <c r="CZ47" s="27">
        <f>AH47</f>
        <v>15.49</v>
      </c>
      <c r="DA47" s="27">
        <f>AL47</f>
        <v>1</v>
      </c>
      <c r="DB47" s="27">
        <f>ROUND(ROUND(AT47*CZ47,2),6)</f>
        <v>54.76</v>
      </c>
      <c r="DC47" s="27">
        <f>ROUND(ROUND(AT47*AG47,2),6)</f>
        <v>0</v>
      </c>
    </row>
    <row r="48" spans="1:107" x14ac:dyDescent="0.2">
      <c r="A48" s="27">
        <f>ROW(Source!A104)</f>
        <v>104</v>
      </c>
      <c r="B48" s="27">
        <v>34787475</v>
      </c>
      <c r="C48" s="27">
        <v>34787979</v>
      </c>
      <c r="D48" s="27">
        <v>33085111</v>
      </c>
      <c r="E48" s="27">
        <v>66</v>
      </c>
      <c r="F48" s="27">
        <v>1</v>
      </c>
      <c r="G48" s="27">
        <v>1</v>
      </c>
      <c r="H48" s="27">
        <v>1</v>
      </c>
      <c r="I48" s="27" t="s">
        <v>258</v>
      </c>
      <c r="J48" s="27" t="s">
        <v>74</v>
      </c>
      <c r="K48" s="27" t="s">
        <v>257</v>
      </c>
      <c r="L48" s="27">
        <v>1369</v>
      </c>
      <c r="N48" s="27">
        <v>1013</v>
      </c>
      <c r="O48" s="27" t="s">
        <v>250</v>
      </c>
      <c r="P48" s="27" t="s">
        <v>250</v>
      </c>
      <c r="Q48" s="27">
        <v>1</v>
      </c>
      <c r="W48" s="27">
        <v>0</v>
      </c>
      <c r="X48" s="27">
        <v>-2140504649</v>
      </c>
      <c r="Y48" s="27">
        <v>0.505</v>
      </c>
      <c r="AA48" s="27">
        <v>0</v>
      </c>
      <c r="AB48" s="27">
        <v>0</v>
      </c>
      <c r="AC48" s="27">
        <v>0</v>
      </c>
      <c r="AD48" s="27">
        <v>14.09</v>
      </c>
      <c r="AE48" s="27">
        <v>0</v>
      </c>
      <c r="AF48" s="27">
        <v>0</v>
      </c>
      <c r="AG48" s="27">
        <v>0</v>
      </c>
      <c r="AH48" s="27">
        <v>14.09</v>
      </c>
      <c r="AI48" s="27">
        <v>1</v>
      </c>
      <c r="AJ48" s="27">
        <v>1</v>
      </c>
      <c r="AK48" s="27">
        <v>1</v>
      </c>
      <c r="AL48" s="27">
        <v>1</v>
      </c>
      <c r="AN48" s="27">
        <v>0</v>
      </c>
      <c r="AO48" s="27">
        <v>1</v>
      </c>
      <c r="AP48" s="27">
        <v>0</v>
      </c>
      <c r="AQ48" s="27">
        <v>0</v>
      </c>
      <c r="AR48" s="27">
        <v>0</v>
      </c>
      <c r="AS48" s="27" t="s">
        <v>74</v>
      </c>
      <c r="AT48" s="27">
        <v>0.505</v>
      </c>
      <c r="AU48" s="27" t="s">
        <v>74</v>
      </c>
      <c r="AV48" s="27">
        <v>1</v>
      </c>
      <c r="AW48" s="27">
        <v>2</v>
      </c>
      <c r="AX48" s="27">
        <v>34787981</v>
      </c>
      <c r="AY48" s="27">
        <v>1</v>
      </c>
      <c r="AZ48" s="27">
        <v>0</v>
      </c>
      <c r="BA48" s="27">
        <v>48</v>
      </c>
      <c r="BB48" s="27">
        <v>0</v>
      </c>
      <c r="BC48" s="27">
        <v>0</v>
      </c>
      <c r="BD48" s="27">
        <v>0</v>
      </c>
      <c r="BE48" s="27">
        <v>0</v>
      </c>
      <c r="BF48" s="27">
        <v>0</v>
      </c>
      <c r="BG48" s="27">
        <v>0</v>
      </c>
      <c r="BH48" s="27">
        <v>0</v>
      </c>
      <c r="BI48" s="27">
        <v>0</v>
      </c>
      <c r="BJ48" s="27">
        <v>0</v>
      </c>
      <c r="BK48" s="27">
        <v>0</v>
      </c>
      <c r="BL48" s="27">
        <v>0</v>
      </c>
      <c r="BM48" s="27">
        <v>0</v>
      </c>
      <c r="BN48" s="27">
        <v>0</v>
      </c>
      <c r="BO48" s="27">
        <v>0</v>
      </c>
      <c r="BP48" s="27">
        <v>0</v>
      </c>
      <c r="BQ48" s="27">
        <v>0</v>
      </c>
      <c r="BR48" s="27">
        <v>0</v>
      </c>
      <c r="BS48" s="27">
        <v>0</v>
      </c>
      <c r="BT48" s="27">
        <v>0</v>
      </c>
      <c r="BU48" s="27">
        <v>0</v>
      </c>
      <c r="BV48" s="27">
        <v>0</v>
      </c>
      <c r="BW48" s="27">
        <v>0</v>
      </c>
      <c r="CX48" s="27">
        <f>Y48*Source!I104</f>
        <v>3.5350000000000001</v>
      </c>
      <c r="CY48" s="27">
        <f>AD48</f>
        <v>14.09</v>
      </c>
      <c r="CZ48" s="27">
        <f>AH48</f>
        <v>14.09</v>
      </c>
      <c r="DA48" s="27">
        <f>AL48</f>
        <v>1</v>
      </c>
      <c r="DB48" s="27">
        <f>ROUND(ROUND(AT48*CZ48,2),6)</f>
        <v>7.12</v>
      </c>
      <c r="DC48" s="27">
        <f>ROUND(ROUND(AT48*AG48,2),6)</f>
        <v>0</v>
      </c>
    </row>
    <row r="49" spans="1:107" x14ac:dyDescent="0.2">
      <c r="A49" s="27">
        <f>ROW(Source!A104)</f>
        <v>104</v>
      </c>
      <c r="B49" s="27">
        <v>34787475</v>
      </c>
      <c r="C49" s="27">
        <v>34787979</v>
      </c>
      <c r="D49" s="27">
        <v>33085120</v>
      </c>
      <c r="E49" s="27">
        <v>66</v>
      </c>
      <c r="F49" s="27">
        <v>1</v>
      </c>
      <c r="G49" s="27">
        <v>1</v>
      </c>
      <c r="H49" s="27">
        <v>1</v>
      </c>
      <c r="I49" s="27" t="s">
        <v>256</v>
      </c>
      <c r="J49" s="27" t="s">
        <v>74</v>
      </c>
      <c r="K49" s="27" t="s">
        <v>255</v>
      </c>
      <c r="L49" s="27">
        <v>1369</v>
      </c>
      <c r="N49" s="27">
        <v>1013</v>
      </c>
      <c r="O49" s="27" t="s">
        <v>250</v>
      </c>
      <c r="P49" s="27" t="s">
        <v>250</v>
      </c>
      <c r="Q49" s="27">
        <v>1</v>
      </c>
      <c r="W49" s="27">
        <v>0</v>
      </c>
      <c r="X49" s="27">
        <v>1117864519</v>
      </c>
      <c r="Y49" s="27">
        <v>6.06</v>
      </c>
      <c r="AA49" s="27">
        <v>0</v>
      </c>
      <c r="AB49" s="27">
        <v>0</v>
      </c>
      <c r="AC49" s="27">
        <v>0</v>
      </c>
      <c r="AD49" s="27">
        <v>16.93</v>
      </c>
      <c r="AE49" s="27">
        <v>0</v>
      </c>
      <c r="AF49" s="27">
        <v>0</v>
      </c>
      <c r="AG49" s="27">
        <v>0</v>
      </c>
      <c r="AH49" s="27">
        <v>16.93</v>
      </c>
      <c r="AI49" s="27">
        <v>1</v>
      </c>
      <c r="AJ49" s="27">
        <v>1</v>
      </c>
      <c r="AK49" s="27">
        <v>1</v>
      </c>
      <c r="AL49" s="27">
        <v>1</v>
      </c>
      <c r="AN49" s="27">
        <v>0</v>
      </c>
      <c r="AO49" s="27">
        <v>1</v>
      </c>
      <c r="AP49" s="27">
        <v>0</v>
      </c>
      <c r="AQ49" s="27">
        <v>0</v>
      </c>
      <c r="AR49" s="27">
        <v>0</v>
      </c>
      <c r="AS49" s="27" t="s">
        <v>74</v>
      </c>
      <c r="AT49" s="27">
        <v>6.06</v>
      </c>
      <c r="AU49" s="27" t="s">
        <v>74</v>
      </c>
      <c r="AV49" s="27">
        <v>1</v>
      </c>
      <c r="AW49" s="27">
        <v>2</v>
      </c>
      <c r="AX49" s="27">
        <v>34787982</v>
      </c>
      <c r="AY49" s="27">
        <v>1</v>
      </c>
      <c r="AZ49" s="27">
        <v>0</v>
      </c>
      <c r="BA49" s="27">
        <v>49</v>
      </c>
      <c r="BB49" s="27">
        <v>0</v>
      </c>
      <c r="BC49" s="27">
        <v>0</v>
      </c>
      <c r="BD49" s="27">
        <v>0</v>
      </c>
      <c r="BE49" s="27">
        <v>0</v>
      </c>
      <c r="BF49" s="27">
        <v>0</v>
      </c>
      <c r="BG49" s="27">
        <v>0</v>
      </c>
      <c r="BH49" s="27">
        <v>0</v>
      </c>
      <c r="BI49" s="27">
        <v>0</v>
      </c>
      <c r="BJ49" s="27">
        <v>0</v>
      </c>
      <c r="BK49" s="27">
        <v>0</v>
      </c>
      <c r="BL49" s="27">
        <v>0</v>
      </c>
      <c r="BM49" s="27">
        <v>0</v>
      </c>
      <c r="BN49" s="27">
        <v>0</v>
      </c>
      <c r="BO49" s="27">
        <v>0</v>
      </c>
      <c r="BP49" s="27">
        <v>0</v>
      </c>
      <c r="BQ49" s="27">
        <v>0</v>
      </c>
      <c r="BR49" s="27">
        <v>0</v>
      </c>
      <c r="BS49" s="27">
        <v>0</v>
      </c>
      <c r="BT49" s="27">
        <v>0</v>
      </c>
      <c r="BU49" s="27">
        <v>0</v>
      </c>
      <c r="BV49" s="27">
        <v>0</v>
      </c>
      <c r="BW49" s="27">
        <v>0</v>
      </c>
      <c r="CX49" s="27">
        <f>Y49*Source!I104</f>
        <v>42.419999999999995</v>
      </c>
      <c r="CY49" s="27">
        <f>AD49</f>
        <v>16.93</v>
      </c>
      <c r="CZ49" s="27">
        <f>AH49</f>
        <v>16.93</v>
      </c>
      <c r="DA49" s="27">
        <f>AL49</f>
        <v>1</v>
      </c>
      <c r="DB49" s="27">
        <f>ROUND(ROUND(AT49*CZ49,2),6)</f>
        <v>102.6</v>
      </c>
      <c r="DC49" s="27">
        <f>ROUND(ROUND(AT49*AG49,2),6)</f>
        <v>0</v>
      </c>
    </row>
    <row r="50" spans="1:107" x14ac:dyDescent="0.2">
      <c r="A50" s="27">
        <f>ROW(Source!A105)</f>
        <v>105</v>
      </c>
      <c r="B50" s="27">
        <v>34787475</v>
      </c>
      <c r="C50" s="27">
        <v>34787810</v>
      </c>
      <c r="D50" s="27">
        <v>33085098</v>
      </c>
      <c r="E50" s="27">
        <v>66</v>
      </c>
      <c r="F50" s="27">
        <v>1</v>
      </c>
      <c r="G50" s="27">
        <v>1</v>
      </c>
      <c r="H50" s="27">
        <v>1</v>
      </c>
      <c r="I50" s="27" t="s">
        <v>254</v>
      </c>
      <c r="J50" s="27" t="s">
        <v>74</v>
      </c>
      <c r="K50" s="27" t="s">
        <v>253</v>
      </c>
      <c r="L50" s="27">
        <v>1369</v>
      </c>
      <c r="N50" s="27">
        <v>1013</v>
      </c>
      <c r="O50" s="27" t="s">
        <v>250</v>
      </c>
      <c r="P50" s="27" t="s">
        <v>250</v>
      </c>
      <c r="Q50" s="27">
        <v>1</v>
      </c>
      <c r="W50" s="27">
        <v>0</v>
      </c>
      <c r="X50" s="27">
        <v>914469070</v>
      </c>
      <c r="Y50" s="27">
        <v>55.4</v>
      </c>
      <c r="AA50" s="27">
        <v>0</v>
      </c>
      <c r="AB50" s="27">
        <v>0</v>
      </c>
      <c r="AC50" s="27">
        <v>0</v>
      </c>
      <c r="AD50" s="27">
        <v>10.210000000000001</v>
      </c>
      <c r="AE50" s="27">
        <v>0</v>
      </c>
      <c r="AF50" s="27">
        <v>0</v>
      </c>
      <c r="AG50" s="27">
        <v>0</v>
      </c>
      <c r="AH50" s="27">
        <v>10.210000000000001</v>
      </c>
      <c r="AI50" s="27">
        <v>1</v>
      </c>
      <c r="AJ50" s="27">
        <v>1</v>
      </c>
      <c r="AK50" s="27">
        <v>1</v>
      </c>
      <c r="AL50" s="27">
        <v>1</v>
      </c>
      <c r="AN50" s="27">
        <v>0</v>
      </c>
      <c r="AO50" s="27">
        <v>1</v>
      </c>
      <c r="AP50" s="27">
        <v>0</v>
      </c>
      <c r="AQ50" s="27">
        <v>0</v>
      </c>
      <c r="AR50" s="27">
        <v>0</v>
      </c>
      <c r="AS50" s="27" t="s">
        <v>74</v>
      </c>
      <c r="AT50" s="27">
        <v>55.4</v>
      </c>
      <c r="AU50" s="27" t="s">
        <v>74</v>
      </c>
      <c r="AV50" s="27">
        <v>1</v>
      </c>
      <c r="AW50" s="27">
        <v>2</v>
      </c>
      <c r="AX50" s="27">
        <v>34787811</v>
      </c>
      <c r="AY50" s="27">
        <v>1</v>
      </c>
      <c r="AZ50" s="27">
        <v>0</v>
      </c>
      <c r="BA50" s="27">
        <v>50</v>
      </c>
      <c r="BB50" s="27">
        <v>0</v>
      </c>
      <c r="BC50" s="27">
        <v>0</v>
      </c>
      <c r="BD50" s="27">
        <v>0</v>
      </c>
      <c r="BE50" s="27">
        <v>0</v>
      </c>
      <c r="BF50" s="27">
        <v>0</v>
      </c>
      <c r="BG50" s="27">
        <v>0</v>
      </c>
      <c r="BH50" s="27">
        <v>0</v>
      </c>
      <c r="BI50" s="27">
        <v>0</v>
      </c>
      <c r="BJ50" s="27">
        <v>0</v>
      </c>
      <c r="BK50" s="27">
        <v>0</v>
      </c>
      <c r="BL50" s="27">
        <v>0</v>
      </c>
      <c r="BM50" s="27">
        <v>0</v>
      </c>
      <c r="BN50" s="27">
        <v>0</v>
      </c>
      <c r="BO50" s="27">
        <v>0</v>
      </c>
      <c r="BP50" s="27">
        <v>0</v>
      </c>
      <c r="BQ50" s="27">
        <v>0</v>
      </c>
      <c r="BR50" s="27">
        <v>0</v>
      </c>
      <c r="BS50" s="27">
        <v>0</v>
      </c>
      <c r="BT50" s="27">
        <v>0</v>
      </c>
      <c r="BU50" s="27">
        <v>0</v>
      </c>
      <c r="BV50" s="27">
        <v>0</v>
      </c>
      <c r="BW50" s="27">
        <v>0</v>
      </c>
      <c r="CX50" s="27">
        <f>Y50*Source!I105</f>
        <v>55.4</v>
      </c>
      <c r="CY50" s="27">
        <f>AD50</f>
        <v>10.210000000000001</v>
      </c>
      <c r="CZ50" s="27">
        <f>AH50</f>
        <v>10.210000000000001</v>
      </c>
      <c r="DA50" s="27">
        <f>AL50</f>
        <v>1</v>
      </c>
      <c r="DB50" s="27">
        <f>ROUND(ROUND(AT50*CZ50,2),6)</f>
        <v>565.63</v>
      </c>
      <c r="DC50" s="27">
        <f>ROUND(ROUND(AT50*AG50,2),6)</f>
        <v>0</v>
      </c>
    </row>
    <row r="51" spans="1:107" x14ac:dyDescent="0.2">
      <c r="A51" s="27">
        <f>ROW(Source!A105)</f>
        <v>105</v>
      </c>
      <c r="B51" s="27">
        <v>34787475</v>
      </c>
      <c r="C51" s="27">
        <v>34787810</v>
      </c>
      <c r="D51" s="27">
        <v>33085115</v>
      </c>
      <c r="E51" s="27">
        <v>66</v>
      </c>
      <c r="F51" s="27">
        <v>1</v>
      </c>
      <c r="G51" s="27">
        <v>1</v>
      </c>
      <c r="H51" s="27">
        <v>1</v>
      </c>
      <c r="I51" s="27" t="s">
        <v>252</v>
      </c>
      <c r="J51" s="27" t="s">
        <v>74</v>
      </c>
      <c r="K51" s="27" t="s">
        <v>251</v>
      </c>
      <c r="L51" s="27">
        <v>1369</v>
      </c>
      <c r="N51" s="27">
        <v>1013</v>
      </c>
      <c r="O51" s="27" t="s">
        <v>250</v>
      </c>
      <c r="P51" s="27" t="s">
        <v>250</v>
      </c>
      <c r="Q51" s="27">
        <v>1</v>
      </c>
      <c r="W51" s="27">
        <v>0</v>
      </c>
      <c r="X51" s="27">
        <v>126826561</v>
      </c>
      <c r="Y51" s="27">
        <v>83.11</v>
      </c>
      <c r="AA51" s="27">
        <v>0</v>
      </c>
      <c r="AB51" s="27">
        <v>0</v>
      </c>
      <c r="AC51" s="27">
        <v>0</v>
      </c>
      <c r="AD51" s="27">
        <v>12.69</v>
      </c>
      <c r="AE51" s="27">
        <v>0</v>
      </c>
      <c r="AF51" s="27">
        <v>0</v>
      </c>
      <c r="AG51" s="27">
        <v>0</v>
      </c>
      <c r="AH51" s="27">
        <v>12.69</v>
      </c>
      <c r="AI51" s="27">
        <v>1</v>
      </c>
      <c r="AJ51" s="27">
        <v>1</v>
      </c>
      <c r="AK51" s="27">
        <v>1</v>
      </c>
      <c r="AL51" s="27">
        <v>1</v>
      </c>
      <c r="AN51" s="27">
        <v>0</v>
      </c>
      <c r="AO51" s="27">
        <v>1</v>
      </c>
      <c r="AP51" s="27">
        <v>0</v>
      </c>
      <c r="AQ51" s="27">
        <v>0</v>
      </c>
      <c r="AR51" s="27">
        <v>0</v>
      </c>
      <c r="AS51" s="27" t="s">
        <v>74</v>
      </c>
      <c r="AT51" s="27">
        <v>83.11</v>
      </c>
      <c r="AU51" s="27" t="s">
        <v>74</v>
      </c>
      <c r="AV51" s="27">
        <v>1</v>
      </c>
      <c r="AW51" s="27">
        <v>2</v>
      </c>
      <c r="AX51" s="27">
        <v>34787812</v>
      </c>
      <c r="AY51" s="27">
        <v>1</v>
      </c>
      <c r="AZ51" s="27">
        <v>0</v>
      </c>
      <c r="BA51" s="27">
        <v>51</v>
      </c>
      <c r="BB51" s="27">
        <v>0</v>
      </c>
      <c r="BC51" s="27">
        <v>0</v>
      </c>
      <c r="BD51" s="27">
        <v>0</v>
      </c>
      <c r="BE51" s="27">
        <v>0</v>
      </c>
      <c r="BF51" s="27">
        <v>0</v>
      </c>
      <c r="BG51" s="27">
        <v>0</v>
      </c>
      <c r="BH51" s="27">
        <v>0</v>
      </c>
      <c r="BI51" s="27">
        <v>0</v>
      </c>
      <c r="BJ51" s="27">
        <v>0</v>
      </c>
      <c r="BK51" s="27">
        <v>0</v>
      </c>
      <c r="BL51" s="27">
        <v>0</v>
      </c>
      <c r="BM51" s="27">
        <v>0</v>
      </c>
      <c r="BN51" s="27">
        <v>0</v>
      </c>
      <c r="BO51" s="27">
        <v>0</v>
      </c>
      <c r="BP51" s="27">
        <v>0</v>
      </c>
      <c r="BQ51" s="27">
        <v>0</v>
      </c>
      <c r="BR51" s="27">
        <v>0</v>
      </c>
      <c r="BS51" s="27">
        <v>0</v>
      </c>
      <c r="BT51" s="27">
        <v>0</v>
      </c>
      <c r="BU51" s="27">
        <v>0</v>
      </c>
      <c r="BV51" s="27">
        <v>0</v>
      </c>
      <c r="BW51" s="27">
        <v>0</v>
      </c>
      <c r="CX51" s="27">
        <f>Y51*Source!I105</f>
        <v>83.11</v>
      </c>
      <c r="CY51" s="27">
        <f>AD51</f>
        <v>12.69</v>
      </c>
      <c r="CZ51" s="27">
        <f>AH51</f>
        <v>12.69</v>
      </c>
      <c r="DA51" s="27">
        <f>AL51</f>
        <v>1</v>
      </c>
      <c r="DB51" s="27">
        <f>ROUND(ROUND(AT51*CZ51,2),6)</f>
        <v>1054.67</v>
      </c>
      <c r="DC51" s="27">
        <f>ROUND(ROUND(AT51*AG51,2),6)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1"/>
  <sheetViews>
    <sheetView workbookViewId="0">
      <selection activeCell="C22" sqref="C22:F22"/>
    </sheetView>
  </sheetViews>
  <sheetFormatPr defaultColWidth="9.140625" defaultRowHeight="12.75" x14ac:dyDescent="0.2"/>
  <cols>
    <col min="1" max="256" width="9.140625" style="27" customWidth="1"/>
    <col min="257" max="16384" width="9.140625" style="27"/>
  </cols>
  <sheetData>
    <row r="1" spans="1:44" x14ac:dyDescent="0.2">
      <c r="A1" s="27">
        <f>ROW(Source!A28)</f>
        <v>28</v>
      </c>
      <c r="B1" s="27">
        <v>34787488</v>
      </c>
      <c r="C1" s="27">
        <v>34787487</v>
      </c>
      <c r="D1" s="27">
        <v>18126826</v>
      </c>
      <c r="E1" s="27">
        <v>1</v>
      </c>
      <c r="F1" s="27">
        <v>1</v>
      </c>
      <c r="G1" s="27">
        <v>1</v>
      </c>
      <c r="H1" s="27">
        <v>1</v>
      </c>
      <c r="I1" s="27" t="s">
        <v>371</v>
      </c>
      <c r="J1" s="27" t="s">
        <v>74</v>
      </c>
      <c r="K1" s="27" t="s">
        <v>370</v>
      </c>
      <c r="L1" s="27">
        <v>1369</v>
      </c>
      <c r="N1" s="27">
        <v>1013</v>
      </c>
      <c r="O1" s="27" t="s">
        <v>250</v>
      </c>
      <c r="P1" s="27" t="s">
        <v>250</v>
      </c>
      <c r="Q1" s="27">
        <v>1</v>
      </c>
      <c r="X1" s="27">
        <v>0.52</v>
      </c>
      <c r="Y1" s="27">
        <v>0</v>
      </c>
      <c r="Z1" s="27">
        <v>0</v>
      </c>
      <c r="AA1" s="27">
        <v>0</v>
      </c>
      <c r="AB1" s="27">
        <v>8.74</v>
      </c>
      <c r="AC1" s="27">
        <v>0</v>
      </c>
      <c r="AD1" s="27">
        <v>1</v>
      </c>
      <c r="AE1" s="27">
        <v>1</v>
      </c>
      <c r="AF1" s="27" t="s">
        <v>74</v>
      </c>
      <c r="AG1" s="27">
        <v>0.52</v>
      </c>
      <c r="AH1" s="27">
        <v>2</v>
      </c>
      <c r="AI1" s="27">
        <v>34787488</v>
      </c>
      <c r="AJ1" s="27">
        <v>1</v>
      </c>
      <c r="AK1" s="27">
        <v>0</v>
      </c>
      <c r="AL1" s="27">
        <v>0</v>
      </c>
      <c r="AM1" s="27">
        <v>0</v>
      </c>
      <c r="AN1" s="27">
        <v>0</v>
      </c>
      <c r="AO1" s="27">
        <v>0</v>
      </c>
      <c r="AP1" s="27">
        <v>0</v>
      </c>
      <c r="AQ1" s="27">
        <v>0</v>
      </c>
      <c r="AR1" s="27">
        <v>0</v>
      </c>
    </row>
    <row r="2" spans="1:44" x14ac:dyDescent="0.2">
      <c r="A2" s="27">
        <f>ROW(Source!A28)</f>
        <v>28</v>
      </c>
      <c r="B2" s="27">
        <v>34787489</v>
      </c>
      <c r="C2" s="27">
        <v>34787487</v>
      </c>
      <c r="D2" s="27">
        <v>121548</v>
      </c>
      <c r="E2" s="27">
        <v>1</v>
      </c>
      <c r="F2" s="27">
        <v>1</v>
      </c>
      <c r="G2" s="27">
        <v>1</v>
      </c>
      <c r="H2" s="27">
        <v>1</v>
      </c>
      <c r="I2" s="27" t="s">
        <v>227</v>
      </c>
      <c r="J2" s="27" t="s">
        <v>74</v>
      </c>
      <c r="K2" s="27" t="s">
        <v>299</v>
      </c>
      <c r="L2" s="27">
        <v>1369</v>
      </c>
      <c r="N2" s="27">
        <v>1013</v>
      </c>
      <c r="O2" s="27" t="s">
        <v>250</v>
      </c>
      <c r="P2" s="27" t="s">
        <v>250</v>
      </c>
      <c r="Q2" s="27">
        <v>1</v>
      </c>
      <c r="X2" s="27">
        <v>0.06</v>
      </c>
      <c r="Y2" s="27">
        <v>0</v>
      </c>
      <c r="Z2" s="27">
        <v>0</v>
      </c>
      <c r="AA2" s="27">
        <v>0</v>
      </c>
      <c r="AB2" s="27">
        <v>0</v>
      </c>
      <c r="AC2" s="27">
        <v>0</v>
      </c>
      <c r="AD2" s="27">
        <v>1</v>
      </c>
      <c r="AE2" s="27">
        <v>2</v>
      </c>
      <c r="AF2" s="27" t="s">
        <v>74</v>
      </c>
      <c r="AG2" s="27">
        <v>0.06</v>
      </c>
      <c r="AH2" s="27">
        <v>2</v>
      </c>
      <c r="AI2" s="27">
        <v>34787489</v>
      </c>
      <c r="AJ2" s="27">
        <v>2</v>
      </c>
      <c r="AK2" s="27">
        <v>0</v>
      </c>
      <c r="AL2" s="27">
        <v>0</v>
      </c>
      <c r="AM2" s="27">
        <v>0</v>
      </c>
      <c r="AN2" s="27">
        <v>0</v>
      </c>
      <c r="AO2" s="27">
        <v>0</v>
      </c>
      <c r="AP2" s="27">
        <v>0</v>
      </c>
      <c r="AQ2" s="27">
        <v>0</v>
      </c>
      <c r="AR2" s="27">
        <v>0</v>
      </c>
    </row>
    <row r="3" spans="1:44" x14ac:dyDescent="0.2">
      <c r="A3" s="27">
        <f>ROW(Source!A28)</f>
        <v>28</v>
      </c>
      <c r="B3" s="27">
        <v>34787490</v>
      </c>
      <c r="C3" s="27">
        <v>34787487</v>
      </c>
      <c r="D3" s="27">
        <v>17784244</v>
      </c>
      <c r="E3" s="27">
        <v>1</v>
      </c>
      <c r="F3" s="27">
        <v>1</v>
      </c>
      <c r="G3" s="27">
        <v>1</v>
      </c>
      <c r="H3" s="27">
        <v>2</v>
      </c>
      <c r="I3" s="27" t="s">
        <v>369</v>
      </c>
      <c r="J3" s="27" t="s">
        <v>368</v>
      </c>
      <c r="K3" s="27" t="s">
        <v>367</v>
      </c>
      <c r="L3" s="27">
        <v>1368</v>
      </c>
      <c r="N3" s="27">
        <v>1011</v>
      </c>
      <c r="O3" s="27" t="s">
        <v>348</v>
      </c>
      <c r="P3" s="27" t="s">
        <v>348</v>
      </c>
      <c r="Q3" s="27">
        <v>1</v>
      </c>
      <c r="X3" s="27">
        <v>0.05</v>
      </c>
      <c r="Y3" s="27">
        <v>0</v>
      </c>
      <c r="Z3" s="27">
        <v>8.1</v>
      </c>
      <c r="AA3" s="27">
        <v>0</v>
      </c>
      <c r="AB3" s="27">
        <v>0</v>
      </c>
      <c r="AC3" s="27">
        <v>0</v>
      </c>
      <c r="AD3" s="27">
        <v>1</v>
      </c>
      <c r="AE3" s="27">
        <v>0</v>
      </c>
      <c r="AF3" s="27" t="s">
        <v>74</v>
      </c>
      <c r="AG3" s="27">
        <v>0.05</v>
      </c>
      <c r="AH3" s="27">
        <v>2</v>
      </c>
      <c r="AI3" s="27">
        <v>34787490</v>
      </c>
      <c r="AJ3" s="27">
        <v>3</v>
      </c>
      <c r="AK3" s="27">
        <v>0</v>
      </c>
      <c r="AL3" s="27">
        <v>0</v>
      </c>
      <c r="AM3" s="27">
        <v>0</v>
      </c>
      <c r="AN3" s="27">
        <v>0</v>
      </c>
      <c r="AO3" s="27">
        <v>0</v>
      </c>
      <c r="AP3" s="27">
        <v>0</v>
      </c>
      <c r="AQ3" s="27">
        <v>0</v>
      </c>
      <c r="AR3" s="27">
        <v>0</v>
      </c>
    </row>
    <row r="4" spans="1:44" x14ac:dyDescent="0.2">
      <c r="A4" s="27">
        <f>ROW(Source!A28)</f>
        <v>28</v>
      </c>
      <c r="B4" s="27">
        <v>34787491</v>
      </c>
      <c r="C4" s="27">
        <v>34787487</v>
      </c>
      <c r="D4" s="27">
        <v>17786306</v>
      </c>
      <c r="E4" s="27">
        <v>1</v>
      </c>
      <c r="F4" s="27">
        <v>1</v>
      </c>
      <c r="G4" s="27">
        <v>1</v>
      </c>
      <c r="H4" s="27">
        <v>2</v>
      </c>
      <c r="I4" s="27" t="s">
        <v>366</v>
      </c>
      <c r="J4" s="27" t="s">
        <v>365</v>
      </c>
      <c r="K4" s="27" t="s">
        <v>364</v>
      </c>
      <c r="L4" s="27">
        <v>1368</v>
      </c>
      <c r="N4" s="27">
        <v>1011</v>
      </c>
      <c r="O4" s="27" t="s">
        <v>348</v>
      </c>
      <c r="P4" s="27" t="s">
        <v>348</v>
      </c>
      <c r="Q4" s="27">
        <v>1</v>
      </c>
      <c r="X4" s="27">
        <v>0.03</v>
      </c>
      <c r="Y4" s="27">
        <v>0</v>
      </c>
      <c r="Z4" s="27">
        <v>70</v>
      </c>
      <c r="AA4" s="27">
        <v>0</v>
      </c>
      <c r="AB4" s="27">
        <v>0</v>
      </c>
      <c r="AC4" s="27">
        <v>0</v>
      </c>
      <c r="AD4" s="27">
        <v>1</v>
      </c>
      <c r="AE4" s="27">
        <v>0</v>
      </c>
      <c r="AF4" s="27" t="s">
        <v>74</v>
      </c>
      <c r="AG4" s="27">
        <v>0.03</v>
      </c>
      <c r="AH4" s="27">
        <v>2</v>
      </c>
      <c r="AI4" s="27">
        <v>34787491</v>
      </c>
      <c r="AJ4" s="27">
        <v>4</v>
      </c>
      <c r="AK4" s="27">
        <v>0</v>
      </c>
      <c r="AL4" s="27">
        <v>0</v>
      </c>
      <c r="AM4" s="27">
        <v>0</v>
      </c>
      <c r="AN4" s="27">
        <v>0</v>
      </c>
      <c r="AO4" s="27">
        <v>0</v>
      </c>
      <c r="AP4" s="27">
        <v>0</v>
      </c>
      <c r="AQ4" s="27">
        <v>0</v>
      </c>
      <c r="AR4" s="27">
        <v>0</v>
      </c>
    </row>
    <row r="5" spans="1:44" x14ac:dyDescent="0.2">
      <c r="A5" s="27">
        <f>ROW(Source!A28)</f>
        <v>28</v>
      </c>
      <c r="B5" s="27">
        <v>34787492</v>
      </c>
      <c r="C5" s="27">
        <v>34787487</v>
      </c>
      <c r="D5" s="27">
        <v>17786310</v>
      </c>
      <c r="E5" s="27">
        <v>1</v>
      </c>
      <c r="F5" s="27">
        <v>1</v>
      </c>
      <c r="G5" s="27">
        <v>1</v>
      </c>
      <c r="H5" s="27">
        <v>2</v>
      </c>
      <c r="I5" s="27" t="s">
        <v>363</v>
      </c>
      <c r="J5" s="27" t="s">
        <v>362</v>
      </c>
      <c r="K5" s="27" t="s">
        <v>361</v>
      </c>
      <c r="L5" s="27">
        <v>1368</v>
      </c>
      <c r="N5" s="27">
        <v>1011</v>
      </c>
      <c r="O5" s="27" t="s">
        <v>348</v>
      </c>
      <c r="P5" s="27" t="s">
        <v>348</v>
      </c>
      <c r="Q5" s="27">
        <v>1</v>
      </c>
      <c r="X5" s="27">
        <v>0.03</v>
      </c>
      <c r="Y5" s="27">
        <v>0</v>
      </c>
      <c r="Z5" s="27">
        <v>2.36</v>
      </c>
      <c r="AA5" s="27">
        <v>0</v>
      </c>
      <c r="AB5" s="27">
        <v>0</v>
      </c>
      <c r="AC5" s="27">
        <v>0</v>
      </c>
      <c r="AD5" s="27">
        <v>1</v>
      </c>
      <c r="AE5" s="27">
        <v>0</v>
      </c>
      <c r="AF5" s="27" t="s">
        <v>74</v>
      </c>
      <c r="AG5" s="27">
        <v>0.03</v>
      </c>
      <c r="AH5" s="27">
        <v>2</v>
      </c>
      <c r="AI5" s="27">
        <v>34787492</v>
      </c>
      <c r="AJ5" s="27">
        <v>5</v>
      </c>
      <c r="AK5" s="27">
        <v>0</v>
      </c>
      <c r="AL5" s="27">
        <v>0</v>
      </c>
      <c r="AM5" s="27">
        <v>0</v>
      </c>
      <c r="AN5" s="27">
        <v>0</v>
      </c>
      <c r="AO5" s="27">
        <v>0</v>
      </c>
      <c r="AP5" s="27">
        <v>0</v>
      </c>
      <c r="AQ5" s="27">
        <v>0</v>
      </c>
      <c r="AR5" s="27">
        <v>0</v>
      </c>
    </row>
    <row r="6" spans="1:44" x14ac:dyDescent="0.2">
      <c r="A6" s="27">
        <f>ROW(Source!A28)</f>
        <v>28</v>
      </c>
      <c r="B6" s="27">
        <v>34787493</v>
      </c>
      <c r="C6" s="27">
        <v>34787487</v>
      </c>
      <c r="D6" s="27">
        <v>17786361</v>
      </c>
      <c r="E6" s="27">
        <v>1</v>
      </c>
      <c r="F6" s="27">
        <v>1</v>
      </c>
      <c r="G6" s="27">
        <v>1</v>
      </c>
      <c r="H6" s="27">
        <v>2</v>
      </c>
      <c r="I6" s="27" t="s">
        <v>360</v>
      </c>
      <c r="J6" s="27" t="s">
        <v>359</v>
      </c>
      <c r="K6" s="27" t="s">
        <v>358</v>
      </c>
      <c r="L6" s="27">
        <v>1368</v>
      </c>
      <c r="N6" s="27">
        <v>1011</v>
      </c>
      <c r="O6" s="27" t="s">
        <v>348</v>
      </c>
      <c r="P6" s="27" t="s">
        <v>348</v>
      </c>
      <c r="Q6" s="27">
        <v>1</v>
      </c>
      <c r="X6" s="27">
        <v>0.5</v>
      </c>
      <c r="Y6" s="27">
        <v>0</v>
      </c>
      <c r="Z6" s="27">
        <v>2.08</v>
      </c>
      <c r="AA6" s="27">
        <v>0</v>
      </c>
      <c r="AB6" s="27">
        <v>0</v>
      </c>
      <c r="AC6" s="27">
        <v>0</v>
      </c>
      <c r="AD6" s="27">
        <v>1</v>
      </c>
      <c r="AE6" s="27">
        <v>0</v>
      </c>
      <c r="AF6" s="27" t="s">
        <v>74</v>
      </c>
      <c r="AG6" s="27">
        <v>0.5</v>
      </c>
      <c r="AH6" s="27">
        <v>2</v>
      </c>
      <c r="AI6" s="27">
        <v>34787493</v>
      </c>
      <c r="AJ6" s="27">
        <v>6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</row>
    <row r="7" spans="1:44" x14ac:dyDescent="0.2">
      <c r="A7" s="27">
        <f>ROW(Source!A28)</f>
        <v>28</v>
      </c>
      <c r="B7" s="27">
        <v>34787494</v>
      </c>
      <c r="C7" s="27">
        <v>34787487</v>
      </c>
      <c r="D7" s="27">
        <v>17786428</v>
      </c>
      <c r="E7" s="27">
        <v>1</v>
      </c>
      <c r="F7" s="27">
        <v>1</v>
      </c>
      <c r="G7" s="27">
        <v>1</v>
      </c>
      <c r="H7" s="27">
        <v>2</v>
      </c>
      <c r="I7" s="27" t="s">
        <v>357</v>
      </c>
      <c r="J7" s="27" t="s">
        <v>356</v>
      </c>
      <c r="K7" s="27" t="s">
        <v>355</v>
      </c>
      <c r="L7" s="27">
        <v>1368</v>
      </c>
      <c r="N7" s="27">
        <v>1011</v>
      </c>
      <c r="O7" s="27" t="s">
        <v>348</v>
      </c>
      <c r="P7" s="27" t="s">
        <v>348</v>
      </c>
      <c r="Q7" s="27">
        <v>1</v>
      </c>
      <c r="X7" s="27">
        <v>0.04</v>
      </c>
      <c r="Y7" s="27">
        <v>0</v>
      </c>
      <c r="Z7" s="27">
        <v>6.82</v>
      </c>
      <c r="AA7" s="27">
        <v>0</v>
      </c>
      <c r="AB7" s="27">
        <v>0</v>
      </c>
      <c r="AC7" s="27">
        <v>0</v>
      </c>
      <c r="AD7" s="27">
        <v>1</v>
      </c>
      <c r="AE7" s="27">
        <v>0</v>
      </c>
      <c r="AF7" s="27" t="s">
        <v>74</v>
      </c>
      <c r="AG7" s="27">
        <v>0.04</v>
      </c>
      <c r="AH7" s="27">
        <v>2</v>
      </c>
      <c r="AI7" s="27">
        <v>34787494</v>
      </c>
      <c r="AJ7" s="27">
        <v>7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7">
        <v>0</v>
      </c>
      <c r="AQ7" s="27">
        <v>0</v>
      </c>
      <c r="AR7" s="27">
        <v>0</v>
      </c>
    </row>
    <row r="8" spans="1:44" x14ac:dyDescent="0.2">
      <c r="A8" s="27">
        <f>ROW(Source!A28)</f>
        <v>28</v>
      </c>
      <c r="B8" s="27">
        <v>34787495</v>
      </c>
      <c r="C8" s="27">
        <v>34787487</v>
      </c>
      <c r="D8" s="27">
        <v>17786466</v>
      </c>
      <c r="E8" s="27">
        <v>1</v>
      </c>
      <c r="F8" s="27">
        <v>1</v>
      </c>
      <c r="G8" s="27">
        <v>1</v>
      </c>
      <c r="H8" s="27">
        <v>2</v>
      </c>
      <c r="I8" s="27" t="s">
        <v>354</v>
      </c>
      <c r="J8" s="27" t="s">
        <v>353</v>
      </c>
      <c r="K8" s="27" t="s">
        <v>352</v>
      </c>
      <c r="L8" s="27">
        <v>1368</v>
      </c>
      <c r="N8" s="27">
        <v>1011</v>
      </c>
      <c r="O8" s="27" t="s">
        <v>348</v>
      </c>
      <c r="P8" s="27" t="s">
        <v>348</v>
      </c>
      <c r="Q8" s="27">
        <v>1</v>
      </c>
      <c r="X8" s="27">
        <v>0.03</v>
      </c>
      <c r="Y8" s="27">
        <v>0</v>
      </c>
      <c r="Z8" s="27">
        <v>16.920000000000002</v>
      </c>
      <c r="AA8" s="27">
        <v>0</v>
      </c>
      <c r="AB8" s="27">
        <v>10.06</v>
      </c>
      <c r="AC8" s="27">
        <v>0</v>
      </c>
      <c r="AD8" s="27">
        <v>1</v>
      </c>
      <c r="AE8" s="27">
        <v>0</v>
      </c>
      <c r="AF8" s="27" t="s">
        <v>74</v>
      </c>
      <c r="AG8" s="27">
        <v>0.03</v>
      </c>
      <c r="AH8" s="27">
        <v>2</v>
      </c>
      <c r="AI8" s="27">
        <v>34787495</v>
      </c>
      <c r="AJ8" s="27">
        <v>8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</row>
    <row r="9" spans="1:44" x14ac:dyDescent="0.2">
      <c r="A9" s="27">
        <f>ROW(Source!A28)</f>
        <v>28</v>
      </c>
      <c r="B9" s="27">
        <v>34787496</v>
      </c>
      <c r="C9" s="27">
        <v>34787487</v>
      </c>
      <c r="D9" s="27">
        <v>17786468</v>
      </c>
      <c r="E9" s="27">
        <v>1</v>
      </c>
      <c r="F9" s="27">
        <v>1</v>
      </c>
      <c r="G9" s="27">
        <v>1</v>
      </c>
      <c r="H9" s="27">
        <v>2</v>
      </c>
      <c r="I9" s="27" t="s">
        <v>351</v>
      </c>
      <c r="J9" s="27" t="s">
        <v>350</v>
      </c>
      <c r="K9" s="27" t="s">
        <v>349</v>
      </c>
      <c r="L9" s="27">
        <v>1368</v>
      </c>
      <c r="N9" s="27">
        <v>1011</v>
      </c>
      <c r="O9" s="27" t="s">
        <v>348</v>
      </c>
      <c r="P9" s="27" t="s">
        <v>348</v>
      </c>
      <c r="Q9" s="27">
        <v>1</v>
      </c>
      <c r="X9" s="27">
        <v>0.03</v>
      </c>
      <c r="Y9" s="27">
        <v>0</v>
      </c>
      <c r="Z9" s="27">
        <v>56.24</v>
      </c>
      <c r="AA9" s="27">
        <v>0</v>
      </c>
      <c r="AB9" s="27">
        <v>10.06</v>
      </c>
      <c r="AC9" s="27">
        <v>0</v>
      </c>
      <c r="AD9" s="27">
        <v>1</v>
      </c>
      <c r="AE9" s="27">
        <v>0</v>
      </c>
      <c r="AF9" s="27" t="s">
        <v>74</v>
      </c>
      <c r="AG9" s="27">
        <v>0.03</v>
      </c>
      <c r="AH9" s="27">
        <v>2</v>
      </c>
      <c r="AI9" s="27">
        <v>34787496</v>
      </c>
      <c r="AJ9" s="27">
        <v>9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</row>
    <row r="10" spans="1:44" x14ac:dyDescent="0.2">
      <c r="A10" s="27">
        <f>ROW(Source!A28)</f>
        <v>28</v>
      </c>
      <c r="B10" s="27">
        <v>34787497</v>
      </c>
      <c r="C10" s="27">
        <v>34787487</v>
      </c>
      <c r="D10" s="27">
        <v>17725491</v>
      </c>
      <c r="E10" s="27">
        <v>1</v>
      </c>
      <c r="F10" s="27">
        <v>1</v>
      </c>
      <c r="G10" s="27">
        <v>1</v>
      </c>
      <c r="H10" s="27">
        <v>3</v>
      </c>
      <c r="I10" s="27" t="s">
        <v>347</v>
      </c>
      <c r="J10" s="27" t="s">
        <v>346</v>
      </c>
      <c r="K10" s="27" t="s">
        <v>345</v>
      </c>
      <c r="L10" s="27">
        <v>1348</v>
      </c>
      <c r="N10" s="27">
        <v>1009</v>
      </c>
      <c r="O10" s="27" t="s">
        <v>267</v>
      </c>
      <c r="P10" s="27" t="s">
        <v>267</v>
      </c>
      <c r="Q10" s="27">
        <v>1000</v>
      </c>
      <c r="X10" s="27">
        <v>1.0000000000000001E-5</v>
      </c>
      <c r="Y10" s="27">
        <v>6667</v>
      </c>
      <c r="Z10" s="27">
        <v>0</v>
      </c>
      <c r="AA10" s="27">
        <v>0</v>
      </c>
      <c r="AB10" s="27">
        <v>0</v>
      </c>
      <c r="AC10" s="27">
        <v>0</v>
      </c>
      <c r="AD10" s="27">
        <v>1</v>
      </c>
      <c r="AE10" s="27">
        <v>0</v>
      </c>
      <c r="AF10" s="27" t="s">
        <v>74</v>
      </c>
      <c r="AG10" s="27">
        <v>1.0000000000000001E-5</v>
      </c>
      <c r="AH10" s="27">
        <v>2</v>
      </c>
      <c r="AI10" s="27">
        <v>34787497</v>
      </c>
      <c r="AJ10" s="27">
        <v>10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</row>
    <row r="11" spans="1:44" x14ac:dyDescent="0.2">
      <c r="A11" s="27">
        <f>ROW(Source!A28)</f>
        <v>28</v>
      </c>
      <c r="B11" s="27">
        <v>34787498</v>
      </c>
      <c r="C11" s="27">
        <v>34787487</v>
      </c>
      <c r="D11" s="27">
        <v>17725873</v>
      </c>
      <c r="E11" s="27">
        <v>1</v>
      </c>
      <c r="F11" s="27">
        <v>1</v>
      </c>
      <c r="G11" s="27">
        <v>1</v>
      </c>
      <c r="H11" s="27">
        <v>3</v>
      </c>
      <c r="I11" s="27" t="s">
        <v>344</v>
      </c>
      <c r="J11" s="27" t="s">
        <v>343</v>
      </c>
      <c r="K11" s="27" t="s">
        <v>342</v>
      </c>
      <c r="L11" s="27">
        <v>1348</v>
      </c>
      <c r="N11" s="27">
        <v>1009</v>
      </c>
      <c r="O11" s="27" t="s">
        <v>267</v>
      </c>
      <c r="P11" s="27" t="s">
        <v>267</v>
      </c>
      <c r="Q11" s="27">
        <v>1000</v>
      </c>
      <c r="X11" s="27">
        <v>4.0000000000000003E-5</v>
      </c>
      <c r="Y11" s="27">
        <v>10315</v>
      </c>
      <c r="Z11" s="27">
        <v>0</v>
      </c>
      <c r="AA11" s="27">
        <v>0</v>
      </c>
      <c r="AB11" s="27">
        <v>0</v>
      </c>
      <c r="AC11" s="27">
        <v>0</v>
      </c>
      <c r="AD11" s="27">
        <v>1</v>
      </c>
      <c r="AE11" s="27">
        <v>0</v>
      </c>
      <c r="AF11" s="27" t="s">
        <v>74</v>
      </c>
      <c r="AG11" s="27">
        <v>4.0000000000000003E-5</v>
      </c>
      <c r="AH11" s="27">
        <v>2</v>
      </c>
      <c r="AI11" s="27">
        <v>34787498</v>
      </c>
      <c r="AJ11" s="27">
        <v>11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</row>
    <row r="12" spans="1:44" x14ac:dyDescent="0.2">
      <c r="A12" s="27">
        <f>ROW(Source!A28)</f>
        <v>28</v>
      </c>
      <c r="B12" s="27">
        <v>34787499</v>
      </c>
      <c r="C12" s="27">
        <v>34787487</v>
      </c>
      <c r="D12" s="27">
        <v>17726580</v>
      </c>
      <c r="E12" s="27">
        <v>1</v>
      </c>
      <c r="F12" s="27">
        <v>1</v>
      </c>
      <c r="G12" s="27">
        <v>1</v>
      </c>
      <c r="H12" s="27">
        <v>3</v>
      </c>
      <c r="I12" s="27" t="s">
        <v>341</v>
      </c>
      <c r="J12" s="27" t="s">
        <v>340</v>
      </c>
      <c r="K12" s="27" t="s">
        <v>339</v>
      </c>
      <c r="L12" s="27">
        <v>1346</v>
      </c>
      <c r="N12" s="27">
        <v>1009</v>
      </c>
      <c r="O12" s="27" t="s">
        <v>274</v>
      </c>
      <c r="P12" s="27" t="s">
        <v>274</v>
      </c>
      <c r="Q12" s="27">
        <v>1</v>
      </c>
      <c r="X12" s="27">
        <v>0.01</v>
      </c>
      <c r="Y12" s="27">
        <v>28.22</v>
      </c>
      <c r="Z12" s="27">
        <v>0</v>
      </c>
      <c r="AA12" s="27">
        <v>0</v>
      </c>
      <c r="AB12" s="27">
        <v>0</v>
      </c>
      <c r="AC12" s="27">
        <v>0</v>
      </c>
      <c r="AD12" s="27">
        <v>1</v>
      </c>
      <c r="AE12" s="27">
        <v>0</v>
      </c>
      <c r="AF12" s="27" t="s">
        <v>74</v>
      </c>
      <c r="AG12" s="27">
        <v>0.01</v>
      </c>
      <c r="AH12" s="27">
        <v>2</v>
      </c>
      <c r="AI12" s="27">
        <v>34787499</v>
      </c>
      <c r="AJ12" s="27">
        <v>12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</row>
    <row r="13" spans="1:44" x14ac:dyDescent="0.2">
      <c r="A13" s="27">
        <f>ROW(Source!A28)</f>
        <v>28</v>
      </c>
      <c r="B13" s="27">
        <v>34787500</v>
      </c>
      <c r="C13" s="27">
        <v>34787487</v>
      </c>
      <c r="D13" s="27">
        <v>17726799</v>
      </c>
      <c r="E13" s="27">
        <v>1</v>
      </c>
      <c r="F13" s="27">
        <v>1</v>
      </c>
      <c r="G13" s="27">
        <v>1</v>
      </c>
      <c r="H13" s="27">
        <v>3</v>
      </c>
      <c r="I13" s="27" t="s">
        <v>338</v>
      </c>
      <c r="J13" s="27" t="s">
        <v>337</v>
      </c>
      <c r="K13" s="27" t="s">
        <v>336</v>
      </c>
      <c r="L13" s="27">
        <v>1358</v>
      </c>
      <c r="N13" s="27">
        <v>1010</v>
      </c>
      <c r="O13" s="27" t="s">
        <v>335</v>
      </c>
      <c r="P13" s="27" t="s">
        <v>335</v>
      </c>
      <c r="Q13" s="27">
        <v>10</v>
      </c>
      <c r="X13" s="27">
        <v>0.2</v>
      </c>
      <c r="Y13" s="27">
        <v>2.66</v>
      </c>
      <c r="Z13" s="27">
        <v>0</v>
      </c>
      <c r="AA13" s="27">
        <v>0</v>
      </c>
      <c r="AB13" s="27">
        <v>0</v>
      </c>
      <c r="AC13" s="27">
        <v>0</v>
      </c>
      <c r="AD13" s="27">
        <v>1</v>
      </c>
      <c r="AE13" s="27">
        <v>0</v>
      </c>
      <c r="AF13" s="27" t="s">
        <v>74</v>
      </c>
      <c r="AG13" s="27">
        <v>0.2</v>
      </c>
      <c r="AH13" s="27">
        <v>2</v>
      </c>
      <c r="AI13" s="27">
        <v>34787500</v>
      </c>
      <c r="AJ13" s="27">
        <v>13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</row>
    <row r="14" spans="1:44" x14ac:dyDescent="0.2">
      <c r="A14" s="27">
        <f>ROW(Source!A28)</f>
        <v>28</v>
      </c>
      <c r="B14" s="27">
        <v>34787501</v>
      </c>
      <c r="C14" s="27">
        <v>34787487</v>
      </c>
      <c r="D14" s="27">
        <v>17726810</v>
      </c>
      <c r="E14" s="27">
        <v>1</v>
      </c>
      <c r="F14" s="27">
        <v>1</v>
      </c>
      <c r="G14" s="27">
        <v>1</v>
      </c>
      <c r="H14" s="27">
        <v>3</v>
      </c>
      <c r="I14" s="27" t="s">
        <v>334</v>
      </c>
      <c r="J14" s="27" t="s">
        <v>333</v>
      </c>
      <c r="K14" s="27" t="s">
        <v>332</v>
      </c>
      <c r="L14" s="27">
        <v>1348</v>
      </c>
      <c r="N14" s="27">
        <v>1009</v>
      </c>
      <c r="O14" s="27" t="s">
        <v>267</v>
      </c>
      <c r="P14" s="27" t="s">
        <v>267</v>
      </c>
      <c r="Q14" s="27">
        <v>1000</v>
      </c>
      <c r="X14" s="27">
        <v>1E-3</v>
      </c>
      <c r="Y14" s="27">
        <v>5941.89</v>
      </c>
      <c r="Z14" s="27">
        <v>0</v>
      </c>
      <c r="AA14" s="27">
        <v>0</v>
      </c>
      <c r="AB14" s="27">
        <v>0</v>
      </c>
      <c r="AC14" s="27">
        <v>0</v>
      </c>
      <c r="AD14" s="27">
        <v>1</v>
      </c>
      <c r="AE14" s="27">
        <v>0</v>
      </c>
      <c r="AF14" s="27" t="s">
        <v>74</v>
      </c>
      <c r="AG14" s="27">
        <v>1E-3</v>
      </c>
      <c r="AH14" s="27">
        <v>2</v>
      </c>
      <c r="AI14" s="27">
        <v>34787501</v>
      </c>
      <c r="AJ14" s="27">
        <v>14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</row>
    <row r="15" spans="1:44" x14ac:dyDescent="0.2">
      <c r="A15" s="27">
        <f>ROW(Source!A28)</f>
        <v>28</v>
      </c>
      <c r="B15" s="27">
        <v>34787502</v>
      </c>
      <c r="C15" s="27">
        <v>34787487</v>
      </c>
      <c r="D15" s="27">
        <v>17726864</v>
      </c>
      <c r="E15" s="27">
        <v>1</v>
      </c>
      <c r="F15" s="27">
        <v>1</v>
      </c>
      <c r="G15" s="27">
        <v>1</v>
      </c>
      <c r="H15" s="27">
        <v>3</v>
      </c>
      <c r="I15" s="27" t="s">
        <v>331</v>
      </c>
      <c r="J15" s="27" t="s">
        <v>330</v>
      </c>
      <c r="K15" s="27" t="s">
        <v>329</v>
      </c>
      <c r="L15" s="27">
        <v>1301</v>
      </c>
      <c r="N15" s="27">
        <v>1003</v>
      </c>
      <c r="O15" s="27" t="s">
        <v>328</v>
      </c>
      <c r="P15" s="27" t="s">
        <v>328</v>
      </c>
      <c r="Q15" s="27">
        <v>1</v>
      </c>
      <c r="X15" s="27">
        <v>0.95</v>
      </c>
      <c r="Y15" s="27">
        <v>15.13</v>
      </c>
      <c r="Z15" s="27">
        <v>0</v>
      </c>
      <c r="AA15" s="27">
        <v>0</v>
      </c>
      <c r="AB15" s="27">
        <v>0</v>
      </c>
      <c r="AC15" s="27">
        <v>0</v>
      </c>
      <c r="AD15" s="27">
        <v>1</v>
      </c>
      <c r="AE15" s="27">
        <v>0</v>
      </c>
      <c r="AF15" s="27" t="s">
        <v>74</v>
      </c>
      <c r="AG15" s="27">
        <v>0.95</v>
      </c>
      <c r="AH15" s="27">
        <v>2</v>
      </c>
      <c r="AI15" s="27">
        <v>34787502</v>
      </c>
      <c r="AJ15" s="27">
        <v>15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</row>
    <row r="16" spans="1:44" x14ac:dyDescent="0.2">
      <c r="A16" s="27">
        <f>ROW(Source!A28)</f>
        <v>28</v>
      </c>
      <c r="B16" s="27">
        <v>34787503</v>
      </c>
      <c r="C16" s="27">
        <v>34787487</v>
      </c>
      <c r="D16" s="27">
        <v>17727163</v>
      </c>
      <c r="E16" s="27">
        <v>1</v>
      </c>
      <c r="F16" s="27">
        <v>1</v>
      </c>
      <c r="G16" s="27">
        <v>1</v>
      </c>
      <c r="H16" s="27">
        <v>3</v>
      </c>
      <c r="I16" s="27" t="s">
        <v>327</v>
      </c>
      <c r="J16" s="27" t="s">
        <v>326</v>
      </c>
      <c r="K16" s="27" t="s">
        <v>325</v>
      </c>
      <c r="L16" s="27">
        <v>1348</v>
      </c>
      <c r="N16" s="27">
        <v>1009</v>
      </c>
      <c r="O16" s="27" t="s">
        <v>267</v>
      </c>
      <c r="P16" s="27" t="s">
        <v>267</v>
      </c>
      <c r="Q16" s="27">
        <v>1000</v>
      </c>
      <c r="X16" s="27">
        <v>2.0000000000000002E-5</v>
      </c>
      <c r="Y16" s="27">
        <v>9420</v>
      </c>
      <c r="Z16" s="27">
        <v>0</v>
      </c>
      <c r="AA16" s="27">
        <v>0</v>
      </c>
      <c r="AB16" s="27">
        <v>0</v>
      </c>
      <c r="AC16" s="27">
        <v>0</v>
      </c>
      <c r="AD16" s="27">
        <v>1</v>
      </c>
      <c r="AE16" s="27">
        <v>0</v>
      </c>
      <c r="AF16" s="27" t="s">
        <v>74</v>
      </c>
      <c r="AG16" s="27">
        <v>2.0000000000000002E-5</v>
      </c>
      <c r="AH16" s="27">
        <v>2</v>
      </c>
      <c r="AI16" s="27">
        <v>34787503</v>
      </c>
      <c r="AJ16" s="27">
        <v>16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</row>
    <row r="17" spans="1:44" x14ac:dyDescent="0.2">
      <c r="A17" s="27">
        <f>ROW(Source!A28)</f>
        <v>28</v>
      </c>
      <c r="B17" s="27">
        <v>34787504</v>
      </c>
      <c r="C17" s="27">
        <v>34787487</v>
      </c>
      <c r="D17" s="27">
        <v>17804846</v>
      </c>
      <c r="E17" s="27">
        <v>1</v>
      </c>
      <c r="F17" s="27">
        <v>1</v>
      </c>
      <c r="G17" s="27">
        <v>1</v>
      </c>
      <c r="H17" s="27">
        <v>3</v>
      </c>
      <c r="I17" s="27" t="s">
        <v>324</v>
      </c>
      <c r="J17" s="27" t="s">
        <v>323</v>
      </c>
      <c r="K17" s="27" t="s">
        <v>322</v>
      </c>
      <c r="L17" s="27">
        <v>1348</v>
      </c>
      <c r="N17" s="27">
        <v>1009</v>
      </c>
      <c r="O17" s="27" t="s">
        <v>267</v>
      </c>
      <c r="P17" s="27" t="s">
        <v>267</v>
      </c>
      <c r="Q17" s="27">
        <v>1000</v>
      </c>
      <c r="X17" s="27">
        <v>3.0000000000000001E-5</v>
      </c>
      <c r="Y17" s="27">
        <v>15620</v>
      </c>
      <c r="Z17" s="27">
        <v>0</v>
      </c>
      <c r="AA17" s="27">
        <v>0</v>
      </c>
      <c r="AB17" s="27">
        <v>0</v>
      </c>
      <c r="AC17" s="27">
        <v>0</v>
      </c>
      <c r="AD17" s="27">
        <v>1</v>
      </c>
      <c r="AE17" s="27">
        <v>0</v>
      </c>
      <c r="AF17" s="27" t="s">
        <v>74</v>
      </c>
      <c r="AG17" s="27">
        <v>3.0000000000000001E-5</v>
      </c>
      <c r="AH17" s="27">
        <v>2</v>
      </c>
      <c r="AI17" s="27">
        <v>34787504</v>
      </c>
      <c r="AJ17" s="27">
        <v>17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</row>
    <row r="18" spans="1:44" x14ac:dyDescent="0.2">
      <c r="A18" s="27">
        <f>ROW(Source!A28)</f>
        <v>28</v>
      </c>
      <c r="B18" s="27">
        <v>34787505</v>
      </c>
      <c r="C18" s="27">
        <v>34787487</v>
      </c>
      <c r="D18" s="27">
        <v>17805155</v>
      </c>
      <c r="E18" s="27">
        <v>1</v>
      </c>
      <c r="F18" s="27">
        <v>1</v>
      </c>
      <c r="G18" s="27">
        <v>1</v>
      </c>
      <c r="H18" s="27">
        <v>3</v>
      </c>
      <c r="I18" s="27" t="s">
        <v>321</v>
      </c>
      <c r="J18" s="27" t="s">
        <v>320</v>
      </c>
      <c r="K18" s="27" t="s">
        <v>319</v>
      </c>
      <c r="L18" s="27">
        <v>1348</v>
      </c>
      <c r="N18" s="27">
        <v>1009</v>
      </c>
      <c r="O18" s="27" t="s">
        <v>267</v>
      </c>
      <c r="P18" s="27" t="s">
        <v>267</v>
      </c>
      <c r="Q18" s="27">
        <v>1000</v>
      </c>
      <c r="X18" s="27">
        <v>3.0000000000000001E-5</v>
      </c>
      <c r="Y18" s="27">
        <v>28300.400000000001</v>
      </c>
      <c r="Z18" s="27">
        <v>0</v>
      </c>
      <c r="AA18" s="27">
        <v>0</v>
      </c>
      <c r="AB18" s="27">
        <v>0</v>
      </c>
      <c r="AC18" s="27">
        <v>0</v>
      </c>
      <c r="AD18" s="27">
        <v>1</v>
      </c>
      <c r="AE18" s="27">
        <v>0</v>
      </c>
      <c r="AF18" s="27" t="s">
        <v>74</v>
      </c>
      <c r="AG18" s="27">
        <v>3.0000000000000001E-5</v>
      </c>
      <c r="AH18" s="27">
        <v>2</v>
      </c>
      <c r="AI18" s="27">
        <v>34787505</v>
      </c>
      <c r="AJ18" s="27">
        <v>18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</row>
    <row r="19" spans="1:44" x14ac:dyDescent="0.2">
      <c r="A19" s="27">
        <f>ROW(Source!A28)</f>
        <v>28</v>
      </c>
      <c r="B19" s="27">
        <v>34787506</v>
      </c>
      <c r="C19" s="27">
        <v>34787487</v>
      </c>
      <c r="D19" s="27">
        <v>17783655</v>
      </c>
      <c r="E19" s="27">
        <v>1</v>
      </c>
      <c r="F19" s="27">
        <v>1</v>
      </c>
      <c r="G19" s="27">
        <v>1</v>
      </c>
      <c r="H19" s="27">
        <v>3</v>
      </c>
      <c r="I19" s="27" t="s">
        <v>263</v>
      </c>
      <c r="J19" s="27" t="s">
        <v>318</v>
      </c>
      <c r="K19" s="27" t="s">
        <v>317</v>
      </c>
      <c r="L19" s="27">
        <v>13025062</v>
      </c>
      <c r="N19" s="27">
        <v>1009</v>
      </c>
      <c r="O19" s="27" t="s">
        <v>267</v>
      </c>
      <c r="P19" s="27" t="s">
        <v>316</v>
      </c>
      <c r="Q19" s="27">
        <v>1000</v>
      </c>
      <c r="X19" s="27">
        <v>0.09</v>
      </c>
      <c r="Y19" s="27">
        <v>1</v>
      </c>
      <c r="Z19" s="27">
        <v>0</v>
      </c>
      <c r="AA19" s="27">
        <v>0</v>
      </c>
      <c r="AB19" s="27">
        <v>0</v>
      </c>
      <c r="AC19" s="27">
        <v>0</v>
      </c>
      <c r="AD19" s="27">
        <v>1</v>
      </c>
      <c r="AE19" s="27">
        <v>0</v>
      </c>
      <c r="AF19" s="27" t="s">
        <v>74</v>
      </c>
      <c r="AG19" s="27">
        <v>0.09</v>
      </c>
      <c r="AH19" s="27">
        <v>2</v>
      </c>
      <c r="AI19" s="27">
        <v>34787506</v>
      </c>
      <c r="AJ19" s="27">
        <v>19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</row>
    <row r="20" spans="1:44" x14ac:dyDescent="0.2">
      <c r="A20" s="27">
        <f>ROW(Source!A29)</f>
        <v>29</v>
      </c>
      <c r="B20" s="27">
        <v>34787508</v>
      </c>
      <c r="C20" s="27">
        <v>34787507</v>
      </c>
      <c r="D20" s="27">
        <v>33084850</v>
      </c>
      <c r="E20" s="27">
        <v>66</v>
      </c>
      <c r="F20" s="27">
        <v>1</v>
      </c>
      <c r="G20" s="27">
        <v>1</v>
      </c>
      <c r="H20" s="27">
        <v>1</v>
      </c>
      <c r="I20" s="27" t="s">
        <v>315</v>
      </c>
      <c r="J20" s="27" t="s">
        <v>74</v>
      </c>
      <c r="K20" s="27" t="s">
        <v>314</v>
      </c>
      <c r="L20" s="27">
        <v>1191</v>
      </c>
      <c r="N20" s="27">
        <v>1013</v>
      </c>
      <c r="O20" s="27" t="s">
        <v>298</v>
      </c>
      <c r="P20" s="27" t="s">
        <v>298</v>
      </c>
      <c r="Q20" s="27">
        <v>1</v>
      </c>
      <c r="X20" s="27">
        <v>1.03</v>
      </c>
      <c r="Y20" s="27">
        <v>0</v>
      </c>
      <c r="Z20" s="27">
        <v>0</v>
      </c>
      <c r="AA20" s="27">
        <v>0</v>
      </c>
      <c r="AB20" s="27">
        <v>8.64</v>
      </c>
      <c r="AC20" s="27">
        <v>0</v>
      </c>
      <c r="AD20" s="27">
        <v>1</v>
      </c>
      <c r="AE20" s="27">
        <v>1</v>
      </c>
      <c r="AF20" s="27" t="s">
        <v>74</v>
      </c>
      <c r="AG20" s="27">
        <v>1.03</v>
      </c>
      <c r="AH20" s="27">
        <v>2</v>
      </c>
      <c r="AI20" s="27">
        <v>34787508</v>
      </c>
      <c r="AJ20" s="27">
        <v>20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</row>
    <row r="21" spans="1:44" x14ac:dyDescent="0.2">
      <c r="A21" s="27">
        <f>ROW(Source!A29)</f>
        <v>29</v>
      </c>
      <c r="B21" s="27">
        <v>34787509</v>
      </c>
      <c r="C21" s="27">
        <v>34787507</v>
      </c>
      <c r="D21" s="27">
        <v>33085130</v>
      </c>
      <c r="E21" s="27">
        <v>66</v>
      </c>
      <c r="F21" s="27">
        <v>1</v>
      </c>
      <c r="G21" s="27">
        <v>1</v>
      </c>
      <c r="H21" s="27">
        <v>1</v>
      </c>
      <c r="I21" s="27" t="s">
        <v>300</v>
      </c>
      <c r="J21" s="27" t="s">
        <v>74</v>
      </c>
      <c r="K21" s="27" t="s">
        <v>299</v>
      </c>
      <c r="L21" s="27">
        <v>1191</v>
      </c>
      <c r="N21" s="27">
        <v>1013</v>
      </c>
      <c r="O21" s="27" t="s">
        <v>298</v>
      </c>
      <c r="P21" s="27" t="s">
        <v>298</v>
      </c>
      <c r="Q21" s="27">
        <v>1</v>
      </c>
      <c r="X21" s="27">
        <v>0.01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1</v>
      </c>
      <c r="AE21" s="27">
        <v>2</v>
      </c>
      <c r="AF21" s="27" t="s">
        <v>74</v>
      </c>
      <c r="AG21" s="27">
        <v>0.01</v>
      </c>
      <c r="AH21" s="27">
        <v>2</v>
      </c>
      <c r="AI21" s="27">
        <v>34787509</v>
      </c>
      <c r="AJ21" s="27">
        <v>21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</row>
    <row r="22" spans="1:44" x14ac:dyDescent="0.2">
      <c r="A22" s="27">
        <f>ROW(Source!A29)</f>
        <v>29</v>
      </c>
      <c r="B22" s="27">
        <v>34787510</v>
      </c>
      <c r="C22" s="27">
        <v>34787507</v>
      </c>
      <c r="D22" s="27">
        <v>33097571</v>
      </c>
      <c r="E22" s="27">
        <v>1</v>
      </c>
      <c r="F22" s="27">
        <v>1</v>
      </c>
      <c r="G22" s="27">
        <v>1</v>
      </c>
      <c r="H22" s="27">
        <v>2</v>
      </c>
      <c r="I22" s="27" t="s">
        <v>294</v>
      </c>
      <c r="J22" s="27" t="s">
        <v>293</v>
      </c>
      <c r="K22" s="27" t="s">
        <v>292</v>
      </c>
      <c r="L22" s="27">
        <v>1367</v>
      </c>
      <c r="N22" s="27">
        <v>1011</v>
      </c>
      <c r="O22" s="27" t="s">
        <v>291</v>
      </c>
      <c r="P22" s="27" t="s">
        <v>291</v>
      </c>
      <c r="Q22" s="27">
        <v>1</v>
      </c>
      <c r="X22" s="27">
        <v>0.01</v>
      </c>
      <c r="Y22" s="27">
        <v>0</v>
      </c>
      <c r="Z22" s="27">
        <v>65.709999999999994</v>
      </c>
      <c r="AA22" s="27">
        <v>11.6</v>
      </c>
      <c r="AB22" s="27">
        <v>0</v>
      </c>
      <c r="AC22" s="27">
        <v>0</v>
      </c>
      <c r="AD22" s="27">
        <v>1</v>
      </c>
      <c r="AE22" s="27">
        <v>0</v>
      </c>
      <c r="AF22" s="27" t="s">
        <v>74</v>
      </c>
      <c r="AG22" s="27">
        <v>0.01</v>
      </c>
      <c r="AH22" s="27">
        <v>2</v>
      </c>
      <c r="AI22" s="27">
        <v>34787510</v>
      </c>
      <c r="AJ22" s="27">
        <v>22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</row>
    <row r="23" spans="1:44" x14ac:dyDescent="0.2">
      <c r="A23" s="27">
        <f>ROW(Source!A29)</f>
        <v>29</v>
      </c>
      <c r="B23" s="27">
        <v>34787511</v>
      </c>
      <c r="C23" s="27">
        <v>34787507</v>
      </c>
      <c r="D23" s="27">
        <v>33090299</v>
      </c>
      <c r="E23" s="27">
        <v>66</v>
      </c>
      <c r="F23" s="27">
        <v>1</v>
      </c>
      <c r="G23" s="27">
        <v>1</v>
      </c>
      <c r="H23" s="27">
        <v>3</v>
      </c>
      <c r="I23" s="27" t="s">
        <v>263</v>
      </c>
      <c r="J23" s="27" t="s">
        <v>74</v>
      </c>
      <c r="K23" s="27" t="s">
        <v>262</v>
      </c>
      <c r="L23" s="27">
        <v>1374</v>
      </c>
      <c r="N23" s="27">
        <v>1013</v>
      </c>
      <c r="O23" s="27" t="s">
        <v>261</v>
      </c>
      <c r="P23" s="27" t="s">
        <v>261</v>
      </c>
      <c r="Q23" s="27">
        <v>1</v>
      </c>
      <c r="X23" s="27">
        <v>0.18</v>
      </c>
      <c r="Y23" s="27">
        <v>1</v>
      </c>
      <c r="Z23" s="27">
        <v>0</v>
      </c>
      <c r="AA23" s="27">
        <v>0</v>
      </c>
      <c r="AB23" s="27">
        <v>0</v>
      </c>
      <c r="AC23" s="27">
        <v>0</v>
      </c>
      <c r="AD23" s="27">
        <v>1</v>
      </c>
      <c r="AE23" s="27">
        <v>0</v>
      </c>
      <c r="AF23" s="27" t="s">
        <v>74</v>
      </c>
      <c r="AG23" s="27">
        <v>0.18</v>
      </c>
      <c r="AH23" s="27">
        <v>2</v>
      </c>
      <c r="AI23" s="27">
        <v>34787511</v>
      </c>
      <c r="AJ23" s="27">
        <v>23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</row>
    <row r="24" spans="1:44" x14ac:dyDescent="0.2">
      <c r="A24" s="27">
        <f>ROW(Source!A30)</f>
        <v>30</v>
      </c>
      <c r="B24" s="27">
        <v>34787848</v>
      </c>
      <c r="C24" s="27">
        <v>34787847</v>
      </c>
      <c r="D24" s="27">
        <v>33084902</v>
      </c>
      <c r="E24" s="27">
        <v>66</v>
      </c>
      <c r="F24" s="27">
        <v>1</v>
      </c>
      <c r="G24" s="27">
        <v>1</v>
      </c>
      <c r="H24" s="27">
        <v>1</v>
      </c>
      <c r="I24" s="27" t="s">
        <v>313</v>
      </c>
      <c r="J24" s="27" t="s">
        <v>74</v>
      </c>
      <c r="K24" s="27" t="s">
        <v>312</v>
      </c>
      <c r="L24" s="27">
        <v>1191</v>
      </c>
      <c r="N24" s="27">
        <v>1013</v>
      </c>
      <c r="O24" s="27" t="s">
        <v>298</v>
      </c>
      <c r="P24" s="27" t="s">
        <v>298</v>
      </c>
      <c r="Q24" s="27">
        <v>1</v>
      </c>
      <c r="X24" s="27">
        <v>14</v>
      </c>
      <c r="Y24" s="27">
        <v>0</v>
      </c>
      <c r="Z24" s="27">
        <v>0</v>
      </c>
      <c r="AA24" s="27">
        <v>0</v>
      </c>
      <c r="AB24" s="27">
        <v>9.6199999999999992</v>
      </c>
      <c r="AC24" s="27">
        <v>0</v>
      </c>
      <c r="AD24" s="27">
        <v>1</v>
      </c>
      <c r="AE24" s="27">
        <v>1</v>
      </c>
      <c r="AF24" s="27" t="s">
        <v>74</v>
      </c>
      <c r="AG24" s="27">
        <v>14</v>
      </c>
      <c r="AH24" s="27">
        <v>2</v>
      </c>
      <c r="AI24" s="27">
        <v>34787848</v>
      </c>
      <c r="AJ24" s="27">
        <v>24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</row>
    <row r="25" spans="1:44" x14ac:dyDescent="0.2">
      <c r="A25" s="27">
        <f>ROW(Source!A30)</f>
        <v>30</v>
      </c>
      <c r="B25" s="27">
        <v>34787849</v>
      </c>
      <c r="C25" s="27">
        <v>34787847</v>
      </c>
      <c r="D25" s="27">
        <v>33085130</v>
      </c>
      <c r="E25" s="27">
        <v>66</v>
      </c>
      <c r="F25" s="27">
        <v>1</v>
      </c>
      <c r="G25" s="27">
        <v>1</v>
      </c>
      <c r="H25" s="27">
        <v>1</v>
      </c>
      <c r="I25" s="27" t="s">
        <v>300</v>
      </c>
      <c r="J25" s="27" t="s">
        <v>74</v>
      </c>
      <c r="K25" s="27" t="s">
        <v>299</v>
      </c>
      <c r="L25" s="27">
        <v>1191</v>
      </c>
      <c r="N25" s="27">
        <v>1013</v>
      </c>
      <c r="O25" s="27" t="s">
        <v>298</v>
      </c>
      <c r="P25" s="27" t="s">
        <v>298</v>
      </c>
      <c r="Q25" s="27">
        <v>1</v>
      </c>
      <c r="X25" s="27">
        <v>0.7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1</v>
      </c>
      <c r="AE25" s="27">
        <v>2</v>
      </c>
      <c r="AF25" s="27" t="s">
        <v>74</v>
      </c>
      <c r="AG25" s="27">
        <v>0.7</v>
      </c>
      <c r="AH25" s="27">
        <v>2</v>
      </c>
      <c r="AI25" s="27">
        <v>34787849</v>
      </c>
      <c r="AJ25" s="27">
        <v>25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</row>
    <row r="26" spans="1:44" x14ac:dyDescent="0.2">
      <c r="A26" s="27">
        <f>ROW(Source!A30)</f>
        <v>30</v>
      </c>
      <c r="B26" s="27">
        <v>34787850</v>
      </c>
      <c r="C26" s="27">
        <v>34787847</v>
      </c>
      <c r="D26" s="27">
        <v>33096483</v>
      </c>
      <c r="E26" s="27">
        <v>1</v>
      </c>
      <c r="F26" s="27">
        <v>1</v>
      </c>
      <c r="G26" s="27">
        <v>1</v>
      </c>
      <c r="H26" s="27">
        <v>2</v>
      </c>
      <c r="I26" s="27" t="s">
        <v>311</v>
      </c>
      <c r="J26" s="27" t="s">
        <v>310</v>
      </c>
      <c r="K26" s="27" t="s">
        <v>309</v>
      </c>
      <c r="L26" s="27">
        <v>1367</v>
      </c>
      <c r="N26" s="27">
        <v>1011</v>
      </c>
      <c r="O26" s="27" t="s">
        <v>291</v>
      </c>
      <c r="P26" s="27" t="s">
        <v>291</v>
      </c>
      <c r="Q26" s="27">
        <v>1</v>
      </c>
      <c r="X26" s="27">
        <v>0.7</v>
      </c>
      <c r="Y26" s="27">
        <v>0</v>
      </c>
      <c r="Z26" s="27">
        <v>89.99</v>
      </c>
      <c r="AA26" s="27">
        <v>10.06</v>
      </c>
      <c r="AB26" s="27">
        <v>0</v>
      </c>
      <c r="AC26" s="27">
        <v>0</v>
      </c>
      <c r="AD26" s="27">
        <v>1</v>
      </c>
      <c r="AE26" s="27">
        <v>0</v>
      </c>
      <c r="AF26" s="27" t="s">
        <v>74</v>
      </c>
      <c r="AG26" s="27">
        <v>0.7</v>
      </c>
      <c r="AH26" s="27">
        <v>2</v>
      </c>
      <c r="AI26" s="27">
        <v>34787850</v>
      </c>
      <c r="AJ26" s="27">
        <v>26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</row>
    <row r="27" spans="1:44" x14ac:dyDescent="0.2">
      <c r="A27" s="27">
        <f>ROW(Source!A30)</f>
        <v>30</v>
      </c>
      <c r="B27" s="27">
        <v>34787851</v>
      </c>
      <c r="C27" s="27">
        <v>34787847</v>
      </c>
      <c r="D27" s="27">
        <v>33144540</v>
      </c>
      <c r="E27" s="27">
        <v>1</v>
      </c>
      <c r="F27" s="27">
        <v>1</v>
      </c>
      <c r="G27" s="27">
        <v>1</v>
      </c>
      <c r="H27" s="27">
        <v>3</v>
      </c>
      <c r="I27" s="27" t="s">
        <v>273</v>
      </c>
      <c r="J27" s="27" t="s">
        <v>272</v>
      </c>
      <c r="K27" s="27" t="s">
        <v>271</v>
      </c>
      <c r="L27" s="27">
        <v>1348</v>
      </c>
      <c r="N27" s="27">
        <v>1009</v>
      </c>
      <c r="O27" s="27" t="s">
        <v>267</v>
      </c>
      <c r="P27" s="27" t="s">
        <v>267</v>
      </c>
      <c r="Q27" s="27">
        <v>1000</v>
      </c>
      <c r="X27" s="27">
        <v>1.3999999999999999E-4</v>
      </c>
      <c r="Y27" s="27">
        <v>68050</v>
      </c>
      <c r="Z27" s="27">
        <v>0</v>
      </c>
      <c r="AA27" s="27">
        <v>0</v>
      </c>
      <c r="AB27" s="27">
        <v>0</v>
      </c>
      <c r="AC27" s="27">
        <v>0</v>
      </c>
      <c r="AD27" s="27">
        <v>1</v>
      </c>
      <c r="AE27" s="27">
        <v>0</v>
      </c>
      <c r="AF27" s="27" t="s">
        <v>74</v>
      </c>
      <c r="AG27" s="27">
        <v>1.3999999999999999E-4</v>
      </c>
      <c r="AH27" s="27">
        <v>2</v>
      </c>
      <c r="AI27" s="27">
        <v>34787851</v>
      </c>
      <c r="AJ27" s="27">
        <v>27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</row>
    <row r="28" spans="1:44" x14ac:dyDescent="0.2">
      <c r="A28" s="27">
        <f>ROW(Source!A30)</f>
        <v>30</v>
      </c>
      <c r="B28" s="27">
        <v>34787852</v>
      </c>
      <c r="C28" s="27">
        <v>34787847</v>
      </c>
      <c r="D28" s="27">
        <v>33186240</v>
      </c>
      <c r="E28" s="27">
        <v>1</v>
      </c>
      <c r="F28" s="27">
        <v>1</v>
      </c>
      <c r="G28" s="27">
        <v>1</v>
      </c>
      <c r="H28" s="27">
        <v>3</v>
      </c>
      <c r="I28" s="27" t="s">
        <v>308</v>
      </c>
      <c r="J28" s="27" t="s">
        <v>307</v>
      </c>
      <c r="K28" s="27" t="s">
        <v>306</v>
      </c>
      <c r="L28" s="27">
        <v>1425</v>
      </c>
      <c r="N28" s="27">
        <v>1013</v>
      </c>
      <c r="O28" s="27" t="s">
        <v>211</v>
      </c>
      <c r="P28" s="27" t="s">
        <v>211</v>
      </c>
      <c r="Q28" s="27">
        <v>1</v>
      </c>
      <c r="X28" s="27">
        <v>0.45</v>
      </c>
      <c r="Y28" s="27">
        <v>580</v>
      </c>
      <c r="Z28" s="27">
        <v>0</v>
      </c>
      <c r="AA28" s="27">
        <v>0</v>
      </c>
      <c r="AB28" s="27">
        <v>0</v>
      </c>
      <c r="AC28" s="27">
        <v>0</v>
      </c>
      <c r="AD28" s="27">
        <v>1</v>
      </c>
      <c r="AE28" s="27">
        <v>0</v>
      </c>
      <c r="AF28" s="27" t="s">
        <v>74</v>
      </c>
      <c r="AG28" s="27">
        <v>0.45</v>
      </c>
      <c r="AH28" s="27">
        <v>2</v>
      </c>
      <c r="AI28" s="27">
        <v>34787852</v>
      </c>
      <c r="AJ28" s="27">
        <v>28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</row>
    <row r="29" spans="1:44" x14ac:dyDescent="0.2">
      <c r="A29" s="27">
        <f>ROW(Source!A30)</f>
        <v>30</v>
      </c>
      <c r="B29" s="27">
        <v>34787853</v>
      </c>
      <c r="C29" s="27">
        <v>34787847</v>
      </c>
      <c r="D29" s="27">
        <v>33216195</v>
      </c>
      <c r="E29" s="27">
        <v>1</v>
      </c>
      <c r="F29" s="27">
        <v>1</v>
      </c>
      <c r="G29" s="27">
        <v>1</v>
      </c>
      <c r="H29" s="27">
        <v>3</v>
      </c>
      <c r="I29" s="27" t="s">
        <v>305</v>
      </c>
      <c r="J29" s="27" t="s">
        <v>304</v>
      </c>
      <c r="K29" s="27" t="s">
        <v>303</v>
      </c>
      <c r="L29" s="27">
        <v>1425</v>
      </c>
      <c r="N29" s="27">
        <v>1013</v>
      </c>
      <c r="O29" s="27" t="s">
        <v>211</v>
      </c>
      <c r="P29" s="27" t="s">
        <v>211</v>
      </c>
      <c r="Q29" s="27">
        <v>1</v>
      </c>
      <c r="X29" s="27">
        <v>0.45</v>
      </c>
      <c r="Y29" s="27">
        <v>30.74</v>
      </c>
      <c r="Z29" s="27">
        <v>0</v>
      </c>
      <c r="AA29" s="27">
        <v>0</v>
      </c>
      <c r="AB29" s="27">
        <v>0</v>
      </c>
      <c r="AC29" s="27">
        <v>0</v>
      </c>
      <c r="AD29" s="27">
        <v>1</v>
      </c>
      <c r="AE29" s="27">
        <v>0</v>
      </c>
      <c r="AF29" s="27" t="s">
        <v>74</v>
      </c>
      <c r="AG29" s="27">
        <v>0.45</v>
      </c>
      <c r="AH29" s="27">
        <v>2</v>
      </c>
      <c r="AI29" s="27">
        <v>34787853</v>
      </c>
      <c r="AJ29" s="27">
        <v>29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</row>
    <row r="30" spans="1:44" x14ac:dyDescent="0.2">
      <c r="A30" s="27">
        <f>ROW(Source!A30)</f>
        <v>30</v>
      </c>
      <c r="B30" s="27">
        <v>34787854</v>
      </c>
      <c r="C30" s="27">
        <v>34787847</v>
      </c>
      <c r="D30" s="27">
        <v>33090299</v>
      </c>
      <c r="E30" s="27">
        <v>66</v>
      </c>
      <c r="F30" s="27">
        <v>1</v>
      </c>
      <c r="G30" s="27">
        <v>1</v>
      </c>
      <c r="H30" s="27">
        <v>3</v>
      </c>
      <c r="I30" s="27" t="s">
        <v>263</v>
      </c>
      <c r="J30" s="27" t="s">
        <v>74</v>
      </c>
      <c r="K30" s="27" t="s">
        <v>262</v>
      </c>
      <c r="L30" s="27">
        <v>1374</v>
      </c>
      <c r="N30" s="27">
        <v>1013</v>
      </c>
      <c r="O30" s="27" t="s">
        <v>261</v>
      </c>
      <c r="P30" s="27" t="s">
        <v>261</v>
      </c>
      <c r="Q30" s="27">
        <v>1</v>
      </c>
      <c r="X30" s="27">
        <v>2.69</v>
      </c>
      <c r="Y30" s="27">
        <v>1</v>
      </c>
      <c r="Z30" s="27">
        <v>0</v>
      </c>
      <c r="AA30" s="27">
        <v>0</v>
      </c>
      <c r="AB30" s="27">
        <v>0</v>
      </c>
      <c r="AC30" s="27">
        <v>0</v>
      </c>
      <c r="AD30" s="27">
        <v>1</v>
      </c>
      <c r="AE30" s="27">
        <v>0</v>
      </c>
      <c r="AF30" s="27" t="s">
        <v>74</v>
      </c>
      <c r="AG30" s="27">
        <v>2.69</v>
      </c>
      <c r="AH30" s="27">
        <v>2</v>
      </c>
      <c r="AI30" s="27">
        <v>34787854</v>
      </c>
      <c r="AJ30" s="27">
        <v>30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</row>
    <row r="31" spans="1:44" x14ac:dyDescent="0.2">
      <c r="A31" s="27">
        <f>ROW(Source!A31)</f>
        <v>31</v>
      </c>
      <c r="B31" s="27">
        <v>34787825</v>
      </c>
      <c r="C31" s="27">
        <v>34787513</v>
      </c>
      <c r="D31" s="27">
        <v>33084915</v>
      </c>
      <c r="E31" s="27">
        <v>66</v>
      </c>
      <c r="F31" s="27">
        <v>1</v>
      </c>
      <c r="G31" s="27">
        <v>1</v>
      </c>
      <c r="H31" s="27">
        <v>1</v>
      </c>
      <c r="I31" s="27" t="s">
        <v>302</v>
      </c>
      <c r="J31" s="27" t="s">
        <v>74</v>
      </c>
      <c r="K31" s="27" t="s">
        <v>301</v>
      </c>
      <c r="L31" s="27">
        <v>1191</v>
      </c>
      <c r="N31" s="27">
        <v>1013</v>
      </c>
      <c r="O31" s="27" t="s">
        <v>298</v>
      </c>
      <c r="P31" s="27" t="s">
        <v>298</v>
      </c>
      <c r="Q31" s="27">
        <v>1</v>
      </c>
      <c r="X31" s="27">
        <v>15.45</v>
      </c>
      <c r="Y31" s="27">
        <v>0</v>
      </c>
      <c r="Z31" s="27">
        <v>0</v>
      </c>
      <c r="AA31" s="27">
        <v>0</v>
      </c>
      <c r="AB31" s="27">
        <v>9.92</v>
      </c>
      <c r="AC31" s="27">
        <v>0</v>
      </c>
      <c r="AD31" s="27">
        <v>1</v>
      </c>
      <c r="AE31" s="27">
        <v>1</v>
      </c>
      <c r="AF31" s="27" t="s">
        <v>74</v>
      </c>
      <c r="AG31" s="27">
        <v>15.45</v>
      </c>
      <c r="AH31" s="27">
        <v>2</v>
      </c>
      <c r="AI31" s="27">
        <v>34787825</v>
      </c>
      <c r="AJ31" s="27">
        <v>31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</row>
    <row r="32" spans="1:44" x14ac:dyDescent="0.2">
      <c r="A32" s="27">
        <f>ROW(Source!A31)</f>
        <v>31</v>
      </c>
      <c r="B32" s="27">
        <v>34787826</v>
      </c>
      <c r="C32" s="27">
        <v>34787513</v>
      </c>
      <c r="D32" s="27">
        <v>33085130</v>
      </c>
      <c r="E32" s="27">
        <v>66</v>
      </c>
      <c r="F32" s="27">
        <v>1</v>
      </c>
      <c r="G32" s="27">
        <v>1</v>
      </c>
      <c r="H32" s="27">
        <v>1</v>
      </c>
      <c r="I32" s="27" t="s">
        <v>300</v>
      </c>
      <c r="J32" s="27" t="s">
        <v>74</v>
      </c>
      <c r="K32" s="27" t="s">
        <v>299</v>
      </c>
      <c r="L32" s="27">
        <v>1191</v>
      </c>
      <c r="N32" s="27">
        <v>1013</v>
      </c>
      <c r="O32" s="27" t="s">
        <v>298</v>
      </c>
      <c r="P32" s="27" t="s">
        <v>298</v>
      </c>
      <c r="Q32" s="27">
        <v>1</v>
      </c>
      <c r="X32" s="27">
        <v>0.02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1</v>
      </c>
      <c r="AE32" s="27">
        <v>2</v>
      </c>
      <c r="AF32" s="27" t="s">
        <v>74</v>
      </c>
      <c r="AG32" s="27">
        <v>0.02</v>
      </c>
      <c r="AH32" s="27">
        <v>2</v>
      </c>
      <c r="AI32" s="27">
        <v>34787826</v>
      </c>
      <c r="AJ32" s="27">
        <v>32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</row>
    <row r="33" spans="1:44" x14ac:dyDescent="0.2">
      <c r="A33" s="27">
        <f>ROW(Source!A31)</f>
        <v>31</v>
      </c>
      <c r="B33" s="27">
        <v>34787827</v>
      </c>
      <c r="C33" s="27">
        <v>34787513</v>
      </c>
      <c r="D33" s="27">
        <v>33096255</v>
      </c>
      <c r="E33" s="27">
        <v>1</v>
      </c>
      <c r="F33" s="27">
        <v>1</v>
      </c>
      <c r="G33" s="27">
        <v>1</v>
      </c>
      <c r="H33" s="27">
        <v>2</v>
      </c>
      <c r="I33" s="27" t="s">
        <v>297</v>
      </c>
      <c r="J33" s="27" t="s">
        <v>296</v>
      </c>
      <c r="K33" s="27" t="s">
        <v>295</v>
      </c>
      <c r="L33" s="27">
        <v>1367</v>
      </c>
      <c r="N33" s="27">
        <v>1011</v>
      </c>
      <c r="O33" s="27" t="s">
        <v>291</v>
      </c>
      <c r="P33" s="27" t="s">
        <v>291</v>
      </c>
      <c r="Q33" s="27">
        <v>1</v>
      </c>
      <c r="X33" s="27">
        <v>0.01</v>
      </c>
      <c r="Y33" s="27">
        <v>0</v>
      </c>
      <c r="Z33" s="27">
        <v>115.4</v>
      </c>
      <c r="AA33" s="27">
        <v>13.5</v>
      </c>
      <c r="AB33" s="27">
        <v>0</v>
      </c>
      <c r="AC33" s="27">
        <v>0</v>
      </c>
      <c r="AD33" s="27">
        <v>1</v>
      </c>
      <c r="AE33" s="27">
        <v>0</v>
      </c>
      <c r="AF33" s="27" t="s">
        <v>74</v>
      </c>
      <c r="AG33" s="27">
        <v>0.01</v>
      </c>
      <c r="AH33" s="27">
        <v>2</v>
      </c>
      <c r="AI33" s="27">
        <v>34787827</v>
      </c>
      <c r="AJ33" s="27">
        <v>33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</row>
    <row r="34" spans="1:44" x14ac:dyDescent="0.2">
      <c r="A34" s="27">
        <f>ROW(Source!A31)</f>
        <v>31</v>
      </c>
      <c r="B34" s="27">
        <v>34787828</v>
      </c>
      <c r="C34" s="27">
        <v>34787513</v>
      </c>
      <c r="D34" s="27">
        <v>33097571</v>
      </c>
      <c r="E34" s="27">
        <v>1</v>
      </c>
      <c r="F34" s="27">
        <v>1</v>
      </c>
      <c r="G34" s="27">
        <v>1</v>
      </c>
      <c r="H34" s="27">
        <v>2</v>
      </c>
      <c r="I34" s="27" t="s">
        <v>294</v>
      </c>
      <c r="J34" s="27" t="s">
        <v>293</v>
      </c>
      <c r="K34" s="27" t="s">
        <v>292</v>
      </c>
      <c r="L34" s="27">
        <v>1367</v>
      </c>
      <c r="N34" s="27">
        <v>1011</v>
      </c>
      <c r="O34" s="27" t="s">
        <v>291</v>
      </c>
      <c r="P34" s="27" t="s">
        <v>291</v>
      </c>
      <c r="Q34" s="27">
        <v>1</v>
      </c>
      <c r="X34" s="27">
        <v>0.01</v>
      </c>
      <c r="Y34" s="27">
        <v>0</v>
      </c>
      <c r="Z34" s="27">
        <v>65.709999999999994</v>
      </c>
      <c r="AA34" s="27">
        <v>11.6</v>
      </c>
      <c r="AB34" s="27">
        <v>0</v>
      </c>
      <c r="AC34" s="27">
        <v>0</v>
      </c>
      <c r="AD34" s="27">
        <v>1</v>
      </c>
      <c r="AE34" s="27">
        <v>0</v>
      </c>
      <c r="AF34" s="27" t="s">
        <v>74</v>
      </c>
      <c r="AG34" s="27">
        <v>0.01</v>
      </c>
      <c r="AH34" s="27">
        <v>2</v>
      </c>
      <c r="AI34" s="27">
        <v>34787828</v>
      </c>
      <c r="AJ34" s="27">
        <v>34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</row>
    <row r="35" spans="1:44" x14ac:dyDescent="0.2">
      <c r="A35" s="27">
        <f>ROW(Source!A31)</f>
        <v>31</v>
      </c>
      <c r="B35" s="27">
        <v>34787829</v>
      </c>
      <c r="C35" s="27">
        <v>34787513</v>
      </c>
      <c r="D35" s="27">
        <v>33102570</v>
      </c>
      <c r="E35" s="27">
        <v>1</v>
      </c>
      <c r="F35" s="27">
        <v>1</v>
      </c>
      <c r="G35" s="27">
        <v>1</v>
      </c>
      <c r="H35" s="27">
        <v>3</v>
      </c>
      <c r="I35" s="27" t="s">
        <v>290</v>
      </c>
      <c r="J35" s="27" t="s">
        <v>289</v>
      </c>
      <c r="K35" s="27" t="s">
        <v>288</v>
      </c>
      <c r="L35" s="27">
        <v>1346</v>
      </c>
      <c r="N35" s="27">
        <v>1009</v>
      </c>
      <c r="O35" s="27" t="s">
        <v>274</v>
      </c>
      <c r="P35" s="27" t="s">
        <v>274</v>
      </c>
      <c r="Q35" s="27">
        <v>1</v>
      </c>
      <c r="X35" s="27">
        <v>0.1</v>
      </c>
      <c r="Y35" s="27">
        <v>44.97</v>
      </c>
      <c r="Z35" s="27">
        <v>0</v>
      </c>
      <c r="AA35" s="27">
        <v>0</v>
      </c>
      <c r="AB35" s="27">
        <v>0</v>
      </c>
      <c r="AC35" s="27">
        <v>0</v>
      </c>
      <c r="AD35" s="27">
        <v>1</v>
      </c>
      <c r="AE35" s="27">
        <v>0</v>
      </c>
      <c r="AF35" s="27" t="s">
        <v>74</v>
      </c>
      <c r="AG35" s="27">
        <v>0.1</v>
      </c>
      <c r="AH35" s="27">
        <v>2</v>
      </c>
      <c r="AI35" s="27">
        <v>34787829</v>
      </c>
      <c r="AJ35" s="27">
        <v>35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</row>
    <row r="36" spans="1:44" x14ac:dyDescent="0.2">
      <c r="A36" s="27">
        <f>ROW(Source!A31)</f>
        <v>31</v>
      </c>
      <c r="B36" s="27">
        <v>34787830</v>
      </c>
      <c r="C36" s="27">
        <v>34787513</v>
      </c>
      <c r="D36" s="27">
        <v>33105206</v>
      </c>
      <c r="E36" s="27">
        <v>1</v>
      </c>
      <c r="F36" s="27">
        <v>1</v>
      </c>
      <c r="G36" s="27">
        <v>1</v>
      </c>
      <c r="H36" s="27">
        <v>3</v>
      </c>
      <c r="I36" s="27" t="s">
        <v>287</v>
      </c>
      <c r="J36" s="27" t="s">
        <v>286</v>
      </c>
      <c r="K36" s="27" t="s">
        <v>285</v>
      </c>
      <c r="L36" s="27">
        <v>1346</v>
      </c>
      <c r="N36" s="27">
        <v>1009</v>
      </c>
      <c r="O36" s="27" t="s">
        <v>274</v>
      </c>
      <c r="P36" s="27" t="s">
        <v>274</v>
      </c>
      <c r="Q36" s="27">
        <v>1</v>
      </c>
      <c r="X36" s="27">
        <v>0.02</v>
      </c>
      <c r="Y36" s="27">
        <v>11.5</v>
      </c>
      <c r="Z36" s="27">
        <v>0</v>
      </c>
      <c r="AA36" s="27">
        <v>0</v>
      </c>
      <c r="AB36" s="27">
        <v>0</v>
      </c>
      <c r="AC36" s="27">
        <v>0</v>
      </c>
      <c r="AD36" s="27">
        <v>1</v>
      </c>
      <c r="AE36" s="27">
        <v>0</v>
      </c>
      <c r="AF36" s="27" t="s">
        <v>74</v>
      </c>
      <c r="AG36" s="27">
        <v>0.02</v>
      </c>
      <c r="AH36" s="27">
        <v>2</v>
      </c>
      <c r="AI36" s="27">
        <v>34787830</v>
      </c>
      <c r="AJ36" s="27">
        <v>36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</row>
    <row r="37" spans="1:44" x14ac:dyDescent="0.2">
      <c r="A37" s="27">
        <f>ROW(Source!A31)</f>
        <v>31</v>
      </c>
      <c r="B37" s="27">
        <v>34787831</v>
      </c>
      <c r="C37" s="27">
        <v>34787513</v>
      </c>
      <c r="D37" s="27">
        <v>33105699</v>
      </c>
      <c r="E37" s="27">
        <v>1</v>
      </c>
      <c r="F37" s="27">
        <v>1</v>
      </c>
      <c r="G37" s="27">
        <v>1</v>
      </c>
      <c r="H37" s="27">
        <v>3</v>
      </c>
      <c r="I37" s="27" t="s">
        <v>284</v>
      </c>
      <c r="J37" s="27" t="s">
        <v>283</v>
      </c>
      <c r="K37" s="27" t="s">
        <v>282</v>
      </c>
      <c r="L37" s="27">
        <v>1346</v>
      </c>
      <c r="N37" s="27">
        <v>1009</v>
      </c>
      <c r="O37" s="27" t="s">
        <v>274</v>
      </c>
      <c r="P37" s="27" t="s">
        <v>274</v>
      </c>
      <c r="Q37" s="27">
        <v>1</v>
      </c>
      <c r="X37" s="27">
        <v>0.2</v>
      </c>
      <c r="Y37" s="27">
        <v>30.4</v>
      </c>
      <c r="Z37" s="27">
        <v>0</v>
      </c>
      <c r="AA37" s="27">
        <v>0</v>
      </c>
      <c r="AB37" s="27">
        <v>0</v>
      </c>
      <c r="AC37" s="27">
        <v>0</v>
      </c>
      <c r="AD37" s="27">
        <v>1</v>
      </c>
      <c r="AE37" s="27">
        <v>0</v>
      </c>
      <c r="AF37" s="27" t="s">
        <v>74</v>
      </c>
      <c r="AG37" s="27">
        <v>0.2</v>
      </c>
      <c r="AH37" s="27">
        <v>2</v>
      </c>
      <c r="AI37" s="27">
        <v>34787831</v>
      </c>
      <c r="AJ37" s="27">
        <v>37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</row>
    <row r="38" spans="1:44" x14ac:dyDescent="0.2">
      <c r="A38" s="27">
        <f>ROW(Source!A31)</f>
        <v>31</v>
      </c>
      <c r="B38" s="27">
        <v>34787832</v>
      </c>
      <c r="C38" s="27">
        <v>34787513</v>
      </c>
      <c r="D38" s="27">
        <v>33105726</v>
      </c>
      <c r="E38" s="27">
        <v>1</v>
      </c>
      <c r="F38" s="27">
        <v>1</v>
      </c>
      <c r="G38" s="27">
        <v>1</v>
      </c>
      <c r="H38" s="27">
        <v>3</v>
      </c>
      <c r="I38" s="27" t="s">
        <v>281</v>
      </c>
      <c r="J38" s="27" t="s">
        <v>280</v>
      </c>
      <c r="K38" s="27" t="s">
        <v>279</v>
      </c>
      <c r="L38" s="27">
        <v>1302</v>
      </c>
      <c r="N38" s="27">
        <v>1003</v>
      </c>
      <c r="O38" s="27" t="s">
        <v>278</v>
      </c>
      <c r="P38" s="27" t="s">
        <v>278</v>
      </c>
      <c r="Q38" s="27">
        <v>10</v>
      </c>
      <c r="X38" s="27">
        <v>1</v>
      </c>
      <c r="Y38" s="27">
        <v>6.9</v>
      </c>
      <c r="Z38" s="27">
        <v>0</v>
      </c>
      <c r="AA38" s="27">
        <v>0</v>
      </c>
      <c r="AB38" s="27">
        <v>0</v>
      </c>
      <c r="AC38" s="27">
        <v>0</v>
      </c>
      <c r="AD38" s="27">
        <v>1</v>
      </c>
      <c r="AE38" s="27">
        <v>0</v>
      </c>
      <c r="AF38" s="27" t="s">
        <v>74</v>
      </c>
      <c r="AG38" s="27">
        <v>1</v>
      </c>
      <c r="AH38" s="27">
        <v>2</v>
      </c>
      <c r="AI38" s="27">
        <v>34787832</v>
      </c>
      <c r="AJ38" s="27">
        <v>38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</row>
    <row r="39" spans="1:44" x14ac:dyDescent="0.2">
      <c r="A39" s="27">
        <f>ROW(Source!A31)</f>
        <v>31</v>
      </c>
      <c r="B39" s="27">
        <v>34787833</v>
      </c>
      <c r="C39" s="27">
        <v>34787513</v>
      </c>
      <c r="D39" s="27">
        <v>33111073</v>
      </c>
      <c r="E39" s="27">
        <v>1</v>
      </c>
      <c r="F39" s="27">
        <v>1</v>
      </c>
      <c r="G39" s="27">
        <v>1</v>
      </c>
      <c r="H39" s="27">
        <v>3</v>
      </c>
      <c r="I39" s="27" t="s">
        <v>277</v>
      </c>
      <c r="J39" s="27" t="s">
        <v>276</v>
      </c>
      <c r="K39" s="27" t="s">
        <v>275</v>
      </c>
      <c r="L39" s="27">
        <v>1346</v>
      </c>
      <c r="N39" s="27">
        <v>1009</v>
      </c>
      <c r="O39" s="27" t="s">
        <v>274</v>
      </c>
      <c r="P39" s="27" t="s">
        <v>274</v>
      </c>
      <c r="Q39" s="27">
        <v>1</v>
      </c>
      <c r="X39" s="27">
        <v>0.01</v>
      </c>
      <c r="Y39" s="27">
        <v>133.05000000000001</v>
      </c>
      <c r="Z39" s="27">
        <v>0</v>
      </c>
      <c r="AA39" s="27">
        <v>0</v>
      </c>
      <c r="AB39" s="27">
        <v>0</v>
      </c>
      <c r="AC39" s="27">
        <v>0</v>
      </c>
      <c r="AD39" s="27">
        <v>1</v>
      </c>
      <c r="AE39" s="27">
        <v>0</v>
      </c>
      <c r="AF39" s="27" t="s">
        <v>74</v>
      </c>
      <c r="AG39" s="27">
        <v>0.01</v>
      </c>
      <c r="AH39" s="27">
        <v>2</v>
      </c>
      <c r="AI39" s="27">
        <v>34787833</v>
      </c>
      <c r="AJ39" s="27">
        <v>39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</row>
    <row r="40" spans="1:44" x14ac:dyDescent="0.2">
      <c r="A40" s="27">
        <f>ROW(Source!A31)</f>
        <v>31</v>
      </c>
      <c r="B40" s="27">
        <v>34787834</v>
      </c>
      <c r="C40" s="27">
        <v>34787513</v>
      </c>
      <c r="D40" s="27">
        <v>33144540</v>
      </c>
      <c r="E40" s="27">
        <v>1</v>
      </c>
      <c r="F40" s="27">
        <v>1</v>
      </c>
      <c r="G40" s="27">
        <v>1</v>
      </c>
      <c r="H40" s="27">
        <v>3</v>
      </c>
      <c r="I40" s="27" t="s">
        <v>273</v>
      </c>
      <c r="J40" s="27" t="s">
        <v>272</v>
      </c>
      <c r="K40" s="27" t="s">
        <v>271</v>
      </c>
      <c r="L40" s="27">
        <v>1348</v>
      </c>
      <c r="N40" s="27">
        <v>1009</v>
      </c>
      <c r="O40" s="27" t="s">
        <v>267</v>
      </c>
      <c r="P40" s="27" t="s">
        <v>267</v>
      </c>
      <c r="Q40" s="27">
        <v>1000</v>
      </c>
      <c r="X40" s="27">
        <v>8.0000000000000007E-5</v>
      </c>
      <c r="Y40" s="27">
        <v>68050</v>
      </c>
      <c r="Z40" s="27">
        <v>0</v>
      </c>
      <c r="AA40" s="27">
        <v>0</v>
      </c>
      <c r="AB40" s="27">
        <v>0</v>
      </c>
      <c r="AC40" s="27">
        <v>0</v>
      </c>
      <c r="AD40" s="27">
        <v>1</v>
      </c>
      <c r="AE40" s="27">
        <v>0</v>
      </c>
      <c r="AF40" s="27" t="s">
        <v>74</v>
      </c>
      <c r="AG40" s="27">
        <v>8.0000000000000007E-5</v>
      </c>
      <c r="AH40" s="27">
        <v>2</v>
      </c>
      <c r="AI40" s="27">
        <v>34787834</v>
      </c>
      <c r="AJ40" s="27">
        <v>40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</row>
    <row r="41" spans="1:44" x14ac:dyDescent="0.2">
      <c r="A41" s="27">
        <f>ROW(Source!A31)</f>
        <v>31</v>
      </c>
      <c r="B41" s="27">
        <v>34787835</v>
      </c>
      <c r="C41" s="27">
        <v>34787513</v>
      </c>
      <c r="D41" s="27">
        <v>33160173</v>
      </c>
      <c r="E41" s="27">
        <v>1</v>
      </c>
      <c r="F41" s="27">
        <v>1</v>
      </c>
      <c r="G41" s="27">
        <v>1</v>
      </c>
      <c r="H41" s="27">
        <v>3</v>
      </c>
      <c r="I41" s="27" t="s">
        <v>270</v>
      </c>
      <c r="J41" s="27" t="s">
        <v>269</v>
      </c>
      <c r="K41" s="27" t="s">
        <v>268</v>
      </c>
      <c r="L41" s="27">
        <v>1348</v>
      </c>
      <c r="N41" s="27">
        <v>1009</v>
      </c>
      <c r="O41" s="27" t="s">
        <v>267</v>
      </c>
      <c r="P41" s="27" t="s">
        <v>267</v>
      </c>
      <c r="Q41" s="27">
        <v>1000</v>
      </c>
      <c r="X41" s="27">
        <v>1E-4</v>
      </c>
      <c r="Y41" s="27">
        <v>70200</v>
      </c>
      <c r="Z41" s="27">
        <v>0</v>
      </c>
      <c r="AA41" s="27">
        <v>0</v>
      </c>
      <c r="AB41" s="27">
        <v>0</v>
      </c>
      <c r="AC41" s="27">
        <v>0</v>
      </c>
      <c r="AD41" s="27">
        <v>1</v>
      </c>
      <c r="AE41" s="27">
        <v>0</v>
      </c>
      <c r="AF41" s="27" t="s">
        <v>74</v>
      </c>
      <c r="AG41" s="27">
        <v>1E-4</v>
      </c>
      <c r="AH41" s="27">
        <v>2</v>
      </c>
      <c r="AI41" s="27">
        <v>34787835</v>
      </c>
      <c r="AJ41" s="27">
        <v>41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</row>
    <row r="42" spans="1:44" x14ac:dyDescent="0.2">
      <c r="A42" s="27">
        <f>ROW(Source!A31)</f>
        <v>31</v>
      </c>
      <c r="B42" s="27">
        <v>34787836</v>
      </c>
      <c r="C42" s="27">
        <v>34787513</v>
      </c>
      <c r="D42" s="27">
        <v>33216186</v>
      </c>
      <c r="E42" s="27">
        <v>1</v>
      </c>
      <c r="F42" s="27">
        <v>1</v>
      </c>
      <c r="G42" s="27">
        <v>1</v>
      </c>
      <c r="H42" s="27">
        <v>3</v>
      </c>
      <c r="I42" s="27" t="s">
        <v>266</v>
      </c>
      <c r="J42" s="27" t="s">
        <v>265</v>
      </c>
      <c r="K42" s="27" t="s">
        <v>264</v>
      </c>
      <c r="L42" s="27">
        <v>1425</v>
      </c>
      <c r="N42" s="27">
        <v>1013</v>
      </c>
      <c r="O42" s="27" t="s">
        <v>211</v>
      </c>
      <c r="P42" s="27" t="s">
        <v>211</v>
      </c>
      <c r="Q42" s="27">
        <v>1</v>
      </c>
      <c r="X42" s="27">
        <v>1.02</v>
      </c>
      <c r="Y42" s="27">
        <v>63</v>
      </c>
      <c r="Z42" s="27">
        <v>0</v>
      </c>
      <c r="AA42" s="27">
        <v>0</v>
      </c>
      <c r="AB42" s="27">
        <v>0</v>
      </c>
      <c r="AC42" s="27">
        <v>0</v>
      </c>
      <c r="AD42" s="27">
        <v>1</v>
      </c>
      <c r="AE42" s="27">
        <v>0</v>
      </c>
      <c r="AF42" s="27" t="s">
        <v>74</v>
      </c>
      <c r="AG42" s="27">
        <v>1.02</v>
      </c>
      <c r="AH42" s="27">
        <v>2</v>
      </c>
      <c r="AI42" s="27">
        <v>34787836</v>
      </c>
      <c r="AJ42" s="27">
        <v>42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</row>
    <row r="43" spans="1:44" x14ac:dyDescent="0.2">
      <c r="A43" s="27">
        <f>ROW(Source!A31)</f>
        <v>31</v>
      </c>
      <c r="B43" s="27">
        <v>34787837</v>
      </c>
      <c r="C43" s="27">
        <v>34787513</v>
      </c>
      <c r="D43" s="27">
        <v>33090299</v>
      </c>
      <c r="E43" s="27">
        <v>66</v>
      </c>
      <c r="F43" s="27">
        <v>1</v>
      </c>
      <c r="G43" s="27">
        <v>1</v>
      </c>
      <c r="H43" s="27">
        <v>3</v>
      </c>
      <c r="I43" s="27" t="s">
        <v>263</v>
      </c>
      <c r="J43" s="27" t="s">
        <v>74</v>
      </c>
      <c r="K43" s="27" t="s">
        <v>262</v>
      </c>
      <c r="L43" s="27">
        <v>1374</v>
      </c>
      <c r="N43" s="27">
        <v>1013</v>
      </c>
      <c r="O43" s="27" t="s">
        <v>261</v>
      </c>
      <c r="P43" s="27" t="s">
        <v>261</v>
      </c>
      <c r="Q43" s="27">
        <v>1</v>
      </c>
      <c r="X43" s="27">
        <v>3.07</v>
      </c>
      <c r="Y43" s="27">
        <v>1</v>
      </c>
      <c r="Z43" s="27">
        <v>0</v>
      </c>
      <c r="AA43" s="27">
        <v>0</v>
      </c>
      <c r="AB43" s="27">
        <v>0</v>
      </c>
      <c r="AC43" s="27">
        <v>0</v>
      </c>
      <c r="AD43" s="27">
        <v>1</v>
      </c>
      <c r="AE43" s="27">
        <v>0</v>
      </c>
      <c r="AF43" s="27" t="s">
        <v>74</v>
      </c>
      <c r="AG43" s="27">
        <v>3.07</v>
      </c>
      <c r="AH43" s="27">
        <v>2</v>
      </c>
      <c r="AI43" s="27">
        <v>34787837</v>
      </c>
      <c r="AJ43" s="27">
        <v>43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</row>
    <row r="44" spans="1:44" x14ac:dyDescent="0.2">
      <c r="A44" s="27">
        <f>ROW(Source!A103)</f>
        <v>103</v>
      </c>
      <c r="B44" s="27">
        <v>34787983</v>
      </c>
      <c r="C44" s="27">
        <v>34787813</v>
      </c>
      <c r="D44" s="27">
        <v>33085109</v>
      </c>
      <c r="E44" s="27">
        <v>66</v>
      </c>
      <c r="F44" s="27">
        <v>1</v>
      </c>
      <c r="G44" s="27">
        <v>1</v>
      </c>
      <c r="H44" s="27">
        <v>1</v>
      </c>
      <c r="I44" s="27" t="s">
        <v>260</v>
      </c>
      <c r="J44" s="27" t="s">
        <v>74</v>
      </c>
      <c r="K44" s="27" t="s">
        <v>259</v>
      </c>
      <c r="L44" s="27">
        <v>1369</v>
      </c>
      <c r="N44" s="27">
        <v>1013</v>
      </c>
      <c r="O44" s="27" t="s">
        <v>250</v>
      </c>
      <c r="P44" s="27" t="s">
        <v>250</v>
      </c>
      <c r="Q44" s="27">
        <v>1</v>
      </c>
      <c r="X44" s="27">
        <v>35.700000000000003</v>
      </c>
      <c r="Y44" s="27">
        <v>0</v>
      </c>
      <c r="Z44" s="27">
        <v>0</v>
      </c>
      <c r="AA44" s="27">
        <v>0</v>
      </c>
      <c r="AB44" s="27">
        <v>15.49</v>
      </c>
      <c r="AC44" s="27">
        <v>0</v>
      </c>
      <c r="AD44" s="27">
        <v>1</v>
      </c>
      <c r="AE44" s="27">
        <v>1</v>
      </c>
      <c r="AF44" s="27" t="s">
        <v>74</v>
      </c>
      <c r="AG44" s="27">
        <v>35.700000000000003</v>
      </c>
      <c r="AH44" s="27">
        <v>2</v>
      </c>
      <c r="AI44" s="27">
        <v>34787983</v>
      </c>
      <c r="AJ44" s="27">
        <v>44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</row>
    <row r="45" spans="1:44" x14ac:dyDescent="0.2">
      <c r="A45" s="27">
        <f>ROW(Source!A103)</f>
        <v>103</v>
      </c>
      <c r="B45" s="27">
        <v>34787984</v>
      </c>
      <c r="C45" s="27">
        <v>34787813</v>
      </c>
      <c r="D45" s="27">
        <v>33085111</v>
      </c>
      <c r="E45" s="27">
        <v>66</v>
      </c>
      <c r="F45" s="27">
        <v>1</v>
      </c>
      <c r="G45" s="27">
        <v>1</v>
      </c>
      <c r="H45" s="27">
        <v>1</v>
      </c>
      <c r="I45" s="27" t="s">
        <v>258</v>
      </c>
      <c r="J45" s="27" t="s">
        <v>74</v>
      </c>
      <c r="K45" s="27" t="s">
        <v>257</v>
      </c>
      <c r="L45" s="27">
        <v>1369</v>
      </c>
      <c r="N45" s="27">
        <v>1013</v>
      </c>
      <c r="O45" s="27" t="s">
        <v>250</v>
      </c>
      <c r="P45" s="27" t="s">
        <v>250</v>
      </c>
      <c r="Q45" s="27">
        <v>1</v>
      </c>
      <c r="X45" s="27">
        <v>5.0999999999999996</v>
      </c>
      <c r="Y45" s="27">
        <v>0</v>
      </c>
      <c r="Z45" s="27">
        <v>0</v>
      </c>
      <c r="AA45" s="27">
        <v>0</v>
      </c>
      <c r="AB45" s="27">
        <v>14.09</v>
      </c>
      <c r="AC45" s="27">
        <v>0</v>
      </c>
      <c r="AD45" s="27">
        <v>1</v>
      </c>
      <c r="AE45" s="27">
        <v>1</v>
      </c>
      <c r="AF45" s="27" t="s">
        <v>74</v>
      </c>
      <c r="AG45" s="27">
        <v>5.0999999999999996</v>
      </c>
      <c r="AH45" s="27">
        <v>2</v>
      </c>
      <c r="AI45" s="27">
        <v>34787984</v>
      </c>
      <c r="AJ45" s="27">
        <v>45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</row>
    <row r="46" spans="1:44" x14ac:dyDescent="0.2">
      <c r="A46" s="27">
        <f>ROW(Source!A103)</f>
        <v>103</v>
      </c>
      <c r="B46" s="27">
        <v>34787985</v>
      </c>
      <c r="C46" s="27">
        <v>34787813</v>
      </c>
      <c r="D46" s="27">
        <v>33085120</v>
      </c>
      <c r="E46" s="27">
        <v>66</v>
      </c>
      <c r="F46" s="27">
        <v>1</v>
      </c>
      <c r="G46" s="27">
        <v>1</v>
      </c>
      <c r="H46" s="27">
        <v>1</v>
      </c>
      <c r="I46" s="27" t="s">
        <v>256</v>
      </c>
      <c r="J46" s="27" t="s">
        <v>74</v>
      </c>
      <c r="K46" s="27" t="s">
        <v>255</v>
      </c>
      <c r="L46" s="27">
        <v>1369</v>
      </c>
      <c r="N46" s="27">
        <v>1013</v>
      </c>
      <c r="O46" s="27" t="s">
        <v>250</v>
      </c>
      <c r="P46" s="27" t="s">
        <v>250</v>
      </c>
      <c r="Q46" s="27">
        <v>1</v>
      </c>
      <c r="X46" s="27">
        <v>61.2</v>
      </c>
      <c r="Y46" s="27">
        <v>0</v>
      </c>
      <c r="Z46" s="27">
        <v>0</v>
      </c>
      <c r="AA46" s="27">
        <v>0</v>
      </c>
      <c r="AB46" s="27">
        <v>16.93</v>
      </c>
      <c r="AC46" s="27">
        <v>0</v>
      </c>
      <c r="AD46" s="27">
        <v>1</v>
      </c>
      <c r="AE46" s="27">
        <v>1</v>
      </c>
      <c r="AF46" s="27" t="s">
        <v>74</v>
      </c>
      <c r="AG46" s="27">
        <v>61.2</v>
      </c>
      <c r="AH46" s="27">
        <v>2</v>
      </c>
      <c r="AI46" s="27">
        <v>34787985</v>
      </c>
      <c r="AJ46" s="27">
        <v>46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</row>
    <row r="47" spans="1:44" x14ac:dyDescent="0.2">
      <c r="A47" s="27">
        <f>ROW(Source!A104)</f>
        <v>104</v>
      </c>
      <c r="B47" s="27">
        <v>34787980</v>
      </c>
      <c r="C47" s="27">
        <v>34787979</v>
      </c>
      <c r="D47" s="27">
        <v>33085109</v>
      </c>
      <c r="E47" s="27">
        <v>66</v>
      </c>
      <c r="F47" s="27">
        <v>1</v>
      </c>
      <c r="G47" s="27">
        <v>1</v>
      </c>
      <c r="H47" s="27">
        <v>1</v>
      </c>
      <c r="I47" s="27" t="s">
        <v>260</v>
      </c>
      <c r="J47" s="27" t="s">
        <v>74</v>
      </c>
      <c r="K47" s="27" t="s">
        <v>259</v>
      </c>
      <c r="L47" s="27">
        <v>1369</v>
      </c>
      <c r="N47" s="27">
        <v>1013</v>
      </c>
      <c r="O47" s="27" t="s">
        <v>250</v>
      </c>
      <c r="P47" s="27" t="s">
        <v>250</v>
      </c>
      <c r="Q47" s="27">
        <v>1</v>
      </c>
      <c r="X47" s="27">
        <v>3.5350000000000001</v>
      </c>
      <c r="Y47" s="27">
        <v>0</v>
      </c>
      <c r="Z47" s="27">
        <v>0</v>
      </c>
      <c r="AA47" s="27">
        <v>0</v>
      </c>
      <c r="AB47" s="27">
        <v>15.49</v>
      </c>
      <c r="AC47" s="27">
        <v>0</v>
      </c>
      <c r="AD47" s="27">
        <v>1</v>
      </c>
      <c r="AE47" s="27">
        <v>1</v>
      </c>
      <c r="AF47" s="27" t="s">
        <v>74</v>
      </c>
      <c r="AG47" s="27">
        <v>3.5350000000000001</v>
      </c>
      <c r="AH47" s="27">
        <v>2</v>
      </c>
      <c r="AI47" s="27">
        <v>34787980</v>
      </c>
      <c r="AJ47" s="27">
        <v>47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</row>
    <row r="48" spans="1:44" x14ac:dyDescent="0.2">
      <c r="A48" s="27">
        <f>ROW(Source!A104)</f>
        <v>104</v>
      </c>
      <c r="B48" s="27">
        <v>34787981</v>
      </c>
      <c r="C48" s="27">
        <v>34787979</v>
      </c>
      <c r="D48" s="27">
        <v>33085111</v>
      </c>
      <c r="E48" s="27">
        <v>66</v>
      </c>
      <c r="F48" s="27">
        <v>1</v>
      </c>
      <c r="G48" s="27">
        <v>1</v>
      </c>
      <c r="H48" s="27">
        <v>1</v>
      </c>
      <c r="I48" s="27" t="s">
        <v>258</v>
      </c>
      <c r="J48" s="27" t="s">
        <v>74</v>
      </c>
      <c r="K48" s="27" t="s">
        <v>257</v>
      </c>
      <c r="L48" s="27">
        <v>1369</v>
      </c>
      <c r="N48" s="27">
        <v>1013</v>
      </c>
      <c r="O48" s="27" t="s">
        <v>250</v>
      </c>
      <c r="P48" s="27" t="s">
        <v>250</v>
      </c>
      <c r="Q48" s="27">
        <v>1</v>
      </c>
      <c r="X48" s="27">
        <v>0.505</v>
      </c>
      <c r="Y48" s="27">
        <v>0</v>
      </c>
      <c r="Z48" s="27">
        <v>0</v>
      </c>
      <c r="AA48" s="27">
        <v>0</v>
      </c>
      <c r="AB48" s="27">
        <v>14.09</v>
      </c>
      <c r="AC48" s="27">
        <v>0</v>
      </c>
      <c r="AD48" s="27">
        <v>1</v>
      </c>
      <c r="AE48" s="27">
        <v>1</v>
      </c>
      <c r="AF48" s="27" t="s">
        <v>74</v>
      </c>
      <c r="AG48" s="27">
        <v>0.505</v>
      </c>
      <c r="AH48" s="27">
        <v>2</v>
      </c>
      <c r="AI48" s="27">
        <v>34787981</v>
      </c>
      <c r="AJ48" s="27">
        <v>48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</row>
    <row r="49" spans="1:44" x14ac:dyDescent="0.2">
      <c r="A49" s="27">
        <f>ROW(Source!A104)</f>
        <v>104</v>
      </c>
      <c r="B49" s="27">
        <v>34787982</v>
      </c>
      <c r="C49" s="27">
        <v>34787979</v>
      </c>
      <c r="D49" s="27">
        <v>33085120</v>
      </c>
      <c r="E49" s="27">
        <v>66</v>
      </c>
      <c r="F49" s="27">
        <v>1</v>
      </c>
      <c r="G49" s="27">
        <v>1</v>
      </c>
      <c r="H49" s="27">
        <v>1</v>
      </c>
      <c r="I49" s="27" t="s">
        <v>256</v>
      </c>
      <c r="J49" s="27" t="s">
        <v>74</v>
      </c>
      <c r="K49" s="27" t="s">
        <v>255</v>
      </c>
      <c r="L49" s="27">
        <v>1369</v>
      </c>
      <c r="N49" s="27">
        <v>1013</v>
      </c>
      <c r="O49" s="27" t="s">
        <v>250</v>
      </c>
      <c r="P49" s="27" t="s">
        <v>250</v>
      </c>
      <c r="Q49" s="27">
        <v>1</v>
      </c>
      <c r="X49" s="27">
        <v>6.06</v>
      </c>
      <c r="Y49" s="27">
        <v>0</v>
      </c>
      <c r="Z49" s="27">
        <v>0</v>
      </c>
      <c r="AA49" s="27">
        <v>0</v>
      </c>
      <c r="AB49" s="27">
        <v>16.93</v>
      </c>
      <c r="AC49" s="27">
        <v>0</v>
      </c>
      <c r="AD49" s="27">
        <v>1</v>
      </c>
      <c r="AE49" s="27">
        <v>1</v>
      </c>
      <c r="AF49" s="27" t="s">
        <v>74</v>
      </c>
      <c r="AG49" s="27">
        <v>6.06</v>
      </c>
      <c r="AH49" s="27">
        <v>2</v>
      </c>
      <c r="AI49" s="27">
        <v>34787982</v>
      </c>
      <c r="AJ49" s="27">
        <v>49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</row>
    <row r="50" spans="1:44" x14ac:dyDescent="0.2">
      <c r="A50" s="27">
        <f>ROW(Source!A105)</f>
        <v>105</v>
      </c>
      <c r="B50" s="27">
        <v>34787811</v>
      </c>
      <c r="C50" s="27">
        <v>34787810</v>
      </c>
      <c r="D50" s="27">
        <v>33085098</v>
      </c>
      <c r="E50" s="27">
        <v>66</v>
      </c>
      <c r="F50" s="27">
        <v>1</v>
      </c>
      <c r="G50" s="27">
        <v>1</v>
      </c>
      <c r="H50" s="27">
        <v>1</v>
      </c>
      <c r="I50" s="27" t="s">
        <v>254</v>
      </c>
      <c r="J50" s="27" t="s">
        <v>74</v>
      </c>
      <c r="K50" s="27" t="s">
        <v>253</v>
      </c>
      <c r="L50" s="27">
        <v>1369</v>
      </c>
      <c r="N50" s="27">
        <v>1013</v>
      </c>
      <c r="O50" s="27" t="s">
        <v>250</v>
      </c>
      <c r="P50" s="27" t="s">
        <v>250</v>
      </c>
      <c r="Q50" s="27">
        <v>1</v>
      </c>
      <c r="X50" s="27">
        <v>55.4</v>
      </c>
      <c r="Y50" s="27">
        <v>0</v>
      </c>
      <c r="Z50" s="27">
        <v>0</v>
      </c>
      <c r="AA50" s="27">
        <v>0</v>
      </c>
      <c r="AB50" s="27">
        <v>10.210000000000001</v>
      </c>
      <c r="AC50" s="27">
        <v>0</v>
      </c>
      <c r="AD50" s="27">
        <v>1</v>
      </c>
      <c r="AE50" s="27">
        <v>1</v>
      </c>
      <c r="AF50" s="27" t="s">
        <v>74</v>
      </c>
      <c r="AG50" s="27">
        <v>55.4</v>
      </c>
      <c r="AH50" s="27">
        <v>2</v>
      </c>
      <c r="AI50" s="27">
        <v>34787811</v>
      </c>
      <c r="AJ50" s="27">
        <v>50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</row>
    <row r="51" spans="1:44" x14ac:dyDescent="0.2">
      <c r="A51" s="27">
        <f>ROW(Source!A105)</f>
        <v>105</v>
      </c>
      <c r="B51" s="27">
        <v>34787812</v>
      </c>
      <c r="C51" s="27">
        <v>34787810</v>
      </c>
      <c r="D51" s="27">
        <v>33085115</v>
      </c>
      <c r="E51" s="27">
        <v>66</v>
      </c>
      <c r="F51" s="27">
        <v>1</v>
      </c>
      <c r="G51" s="27">
        <v>1</v>
      </c>
      <c r="H51" s="27">
        <v>1</v>
      </c>
      <c r="I51" s="27" t="s">
        <v>252</v>
      </c>
      <c r="J51" s="27" t="s">
        <v>74</v>
      </c>
      <c r="K51" s="27" t="s">
        <v>251</v>
      </c>
      <c r="L51" s="27">
        <v>1369</v>
      </c>
      <c r="N51" s="27">
        <v>1013</v>
      </c>
      <c r="O51" s="27" t="s">
        <v>250</v>
      </c>
      <c r="P51" s="27" t="s">
        <v>250</v>
      </c>
      <c r="Q51" s="27">
        <v>1</v>
      </c>
      <c r="X51" s="27">
        <v>83.11</v>
      </c>
      <c r="Y51" s="27">
        <v>0</v>
      </c>
      <c r="Z51" s="27">
        <v>0</v>
      </c>
      <c r="AA51" s="27">
        <v>0</v>
      </c>
      <c r="AB51" s="27">
        <v>12.69</v>
      </c>
      <c r="AC51" s="27">
        <v>0</v>
      </c>
      <c r="AD51" s="27">
        <v>1</v>
      </c>
      <c r="AE51" s="27">
        <v>1</v>
      </c>
      <c r="AF51" s="27" t="s">
        <v>74</v>
      </c>
      <c r="AG51" s="27">
        <v>83.11</v>
      </c>
      <c r="AH51" s="27">
        <v>2</v>
      </c>
      <c r="AI51" s="27">
        <v>34787812</v>
      </c>
      <c r="AJ51" s="27">
        <v>51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Расчет стоимости</vt:lpstr>
      <vt:lpstr>СМР</vt:lpstr>
      <vt:lpstr>ПИР</vt:lpstr>
      <vt:lpstr>Source</vt:lpstr>
      <vt:lpstr>SourceObSm</vt:lpstr>
      <vt:lpstr>SmtRes</vt:lpstr>
      <vt:lpstr>EtalonRes</vt:lpstr>
      <vt:lpstr>СМР!Заголовки_для_печати</vt:lpstr>
      <vt:lpstr>ПИР!Область_печати</vt:lpstr>
      <vt:lpstr>СМР!Область_печати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2022-02-10T20:44:45Z</dcterms:modified>
</cp:coreProperties>
</file>