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Обосновывающие документы ТП свыше 150 кВт новые 2024 г\M_21-1-08-1-08-06-0-1441\"/>
    </mc:Choice>
  </mc:AlternateContent>
  <xr:revisionPtr revIDLastSave="0" documentId="13_ncr:1_{48E7CF81-78BA-49B1-9568-9D6B69370BF1}" xr6:coauthVersionLast="36" xr6:coauthVersionMax="36" xr10:uidLastSave="{00000000-0000-0000-0000-000000000000}"/>
  <bookViews>
    <workbookView xWindow="0" yWindow="0" windowWidth="28800" windowHeight="12225" tabRatio="307" xr2:uid="{00000000-000D-0000-FFFF-FFFF00000000}"/>
  </bookViews>
  <sheets>
    <sheet name="Расчет стоимости ИП" sheetId="4" r:id="rId1"/>
    <sheet name="Наименование работ" sheetId="5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1" hidden="1">'Наименование работ'!$A$2:$R$293</definedName>
    <definedName name="_xlnm._FilterDatabase" localSheetId="0" hidden="1">'Расчет стоимости ИП'!$A$11:$M$29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1">'Наименование работ'!$A$1:$S$293</definedName>
    <definedName name="_xlnm.Print_Area" localSheetId="0">'Расчет стоимости ИП'!$A$1:$P$53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4" l="1"/>
  <c r="M16" i="4" l="1"/>
  <c r="P43" i="4" l="1"/>
  <c r="P44" i="4" l="1"/>
  <c r="P45" i="4" s="1"/>
  <c r="P46" i="4" s="1"/>
  <c r="M19" i="4" l="1"/>
  <c r="M20" i="4"/>
  <c r="M21" i="4"/>
  <c r="M22" i="4"/>
  <c r="M23" i="4"/>
  <c r="M24" i="4"/>
  <c r="M25" i="4"/>
  <c r="M26" i="4"/>
  <c r="M27" i="4"/>
  <c r="M28" i="4"/>
  <c r="M29" i="4"/>
  <c r="C19" i="4" l="1"/>
  <c r="H74" i="5"/>
  <c r="D19" i="4"/>
  <c r="D20" i="4"/>
  <c r="D21" i="4"/>
  <c r="D22" i="4"/>
  <c r="D23" i="4"/>
  <c r="D24" i="4"/>
  <c r="D25" i="4"/>
  <c r="D26" i="4"/>
  <c r="D27" i="4"/>
  <c r="D28" i="4"/>
  <c r="D29" i="4"/>
  <c r="C17" i="4"/>
  <c r="C18" i="4"/>
  <c r="C20" i="4"/>
  <c r="C21" i="4"/>
  <c r="C22" i="4"/>
  <c r="C23" i="4"/>
  <c r="C24" i="4"/>
  <c r="C25" i="4"/>
  <c r="C26" i="4"/>
  <c r="C27" i="4"/>
  <c r="C28" i="4"/>
  <c r="C29" i="4"/>
  <c r="C16" i="4"/>
  <c r="P292" i="5" l="1"/>
  <c r="N292" i="5"/>
  <c r="H292" i="5"/>
  <c r="C292" i="5"/>
  <c r="L292" i="5" s="1"/>
  <c r="P291" i="5"/>
  <c r="N291" i="5"/>
  <c r="H291" i="5"/>
  <c r="C291" i="5"/>
  <c r="L291" i="5" s="1"/>
  <c r="P290" i="5"/>
  <c r="N290" i="5"/>
  <c r="H290" i="5"/>
  <c r="C290" i="5"/>
  <c r="L290" i="5" s="1"/>
  <c r="P289" i="5"/>
  <c r="N289" i="5"/>
  <c r="H289" i="5"/>
  <c r="C289" i="5"/>
  <c r="L289" i="5" s="1"/>
  <c r="P288" i="5"/>
  <c r="N288" i="5"/>
  <c r="H288" i="5"/>
  <c r="C288" i="5"/>
  <c r="L288" i="5" s="1"/>
  <c r="P287" i="5"/>
  <c r="N287" i="5"/>
  <c r="H287" i="5"/>
  <c r="C287" i="5"/>
  <c r="L287" i="5" s="1"/>
  <c r="P286" i="5"/>
  <c r="N286" i="5"/>
  <c r="H286" i="5"/>
  <c r="C286" i="5"/>
  <c r="L286" i="5" s="1"/>
  <c r="P285" i="5"/>
  <c r="N285" i="5"/>
  <c r="H285" i="5"/>
  <c r="C285" i="5"/>
  <c r="L285" i="5" s="1"/>
  <c r="P284" i="5"/>
  <c r="N284" i="5"/>
  <c r="H284" i="5"/>
  <c r="C284" i="5"/>
  <c r="L284" i="5" s="1"/>
  <c r="P283" i="5"/>
  <c r="N283" i="5"/>
  <c r="H283" i="5"/>
  <c r="C283" i="5"/>
  <c r="L283" i="5" s="1"/>
  <c r="P282" i="5"/>
  <c r="N282" i="5"/>
  <c r="H282" i="5"/>
  <c r="C282" i="5"/>
  <c r="L282" i="5" s="1"/>
  <c r="P281" i="5"/>
  <c r="N281" i="5"/>
  <c r="H281" i="5"/>
  <c r="C281" i="5"/>
  <c r="L281" i="5" s="1"/>
  <c r="P280" i="5"/>
  <c r="N280" i="5"/>
  <c r="H280" i="5"/>
  <c r="C280" i="5"/>
  <c r="L280" i="5" s="1"/>
  <c r="P279" i="5"/>
  <c r="N279" i="5"/>
  <c r="H279" i="5"/>
  <c r="C279" i="5"/>
  <c r="L279" i="5" s="1"/>
  <c r="P278" i="5"/>
  <c r="N278" i="5"/>
  <c r="H278" i="5"/>
  <c r="C278" i="5"/>
  <c r="L278" i="5" s="1"/>
  <c r="P277" i="5"/>
  <c r="N277" i="5"/>
  <c r="H277" i="5"/>
  <c r="C277" i="5"/>
  <c r="L277" i="5" s="1"/>
  <c r="P276" i="5"/>
  <c r="N276" i="5"/>
  <c r="H276" i="5"/>
  <c r="C276" i="5"/>
  <c r="L276" i="5" s="1"/>
  <c r="P275" i="5"/>
  <c r="N275" i="5"/>
  <c r="H275" i="5"/>
  <c r="C275" i="5"/>
  <c r="L275" i="5" s="1"/>
  <c r="P274" i="5"/>
  <c r="N274" i="5"/>
  <c r="H274" i="5"/>
  <c r="C274" i="5"/>
  <c r="L274" i="5" s="1"/>
  <c r="P273" i="5"/>
  <c r="N273" i="5"/>
  <c r="H273" i="5"/>
  <c r="C273" i="5"/>
  <c r="L273" i="5" s="1"/>
  <c r="P272" i="5"/>
  <c r="N272" i="5"/>
  <c r="H272" i="5"/>
  <c r="C272" i="5"/>
  <c r="L272" i="5" s="1"/>
  <c r="P271" i="5"/>
  <c r="N271" i="5"/>
  <c r="H271" i="5"/>
  <c r="C271" i="5"/>
  <c r="L271" i="5" s="1"/>
  <c r="P270" i="5"/>
  <c r="N270" i="5"/>
  <c r="H270" i="5"/>
  <c r="C270" i="5"/>
  <c r="L270" i="5" s="1"/>
  <c r="P269" i="5"/>
  <c r="N269" i="5"/>
  <c r="H269" i="5"/>
  <c r="C269" i="5"/>
  <c r="L269" i="5" s="1"/>
  <c r="P268" i="5"/>
  <c r="N268" i="5"/>
  <c r="H268" i="5"/>
  <c r="C268" i="5"/>
  <c r="L268" i="5" s="1"/>
  <c r="P267" i="5"/>
  <c r="N267" i="5"/>
  <c r="H267" i="5"/>
  <c r="C267" i="5"/>
  <c r="L267" i="5" s="1"/>
  <c r="P266" i="5"/>
  <c r="N266" i="5"/>
  <c r="H266" i="5"/>
  <c r="C266" i="5"/>
  <c r="L266" i="5" s="1"/>
  <c r="P265" i="5"/>
  <c r="N265" i="5"/>
  <c r="H265" i="5"/>
  <c r="C265" i="5"/>
  <c r="L265" i="5" s="1"/>
  <c r="P264" i="5"/>
  <c r="N264" i="5"/>
  <c r="H264" i="5"/>
  <c r="C264" i="5"/>
  <c r="L264" i="5" s="1"/>
  <c r="P263" i="5"/>
  <c r="N263" i="5"/>
  <c r="H263" i="5"/>
  <c r="C263" i="5"/>
  <c r="L263" i="5" s="1"/>
  <c r="P262" i="5"/>
  <c r="N262" i="5"/>
  <c r="H262" i="5"/>
  <c r="C262" i="5"/>
  <c r="L262" i="5" s="1"/>
  <c r="P261" i="5"/>
  <c r="N261" i="5"/>
  <c r="H261" i="5"/>
  <c r="C261" i="5"/>
  <c r="L261" i="5" s="1"/>
  <c r="P260" i="5"/>
  <c r="N260" i="5"/>
  <c r="H260" i="5"/>
  <c r="C260" i="5"/>
  <c r="L260" i="5" s="1"/>
  <c r="P259" i="5"/>
  <c r="N259" i="5"/>
  <c r="H259" i="5"/>
  <c r="C259" i="5"/>
  <c r="L259" i="5" s="1"/>
  <c r="P258" i="5"/>
  <c r="N258" i="5"/>
  <c r="H258" i="5"/>
  <c r="C258" i="5"/>
  <c r="L258" i="5" s="1"/>
  <c r="P257" i="5"/>
  <c r="N257" i="5"/>
  <c r="H257" i="5"/>
  <c r="C257" i="5"/>
  <c r="L257" i="5" s="1"/>
  <c r="P256" i="5"/>
  <c r="N256" i="5"/>
  <c r="H256" i="5"/>
  <c r="C256" i="5"/>
  <c r="L256" i="5" s="1"/>
  <c r="P255" i="5"/>
  <c r="N255" i="5"/>
  <c r="H255" i="5"/>
  <c r="C255" i="5"/>
  <c r="L255" i="5" s="1"/>
  <c r="P254" i="5"/>
  <c r="N254" i="5"/>
  <c r="H254" i="5"/>
  <c r="C254" i="5"/>
  <c r="L254" i="5" s="1"/>
  <c r="P253" i="5"/>
  <c r="N253" i="5"/>
  <c r="H253" i="5"/>
  <c r="C253" i="5"/>
  <c r="L253" i="5" s="1"/>
  <c r="P252" i="5"/>
  <c r="N252" i="5"/>
  <c r="H252" i="5"/>
  <c r="C252" i="5"/>
  <c r="L252" i="5" s="1"/>
  <c r="P251" i="5"/>
  <c r="N251" i="5"/>
  <c r="H251" i="5"/>
  <c r="C251" i="5"/>
  <c r="L251" i="5" s="1"/>
  <c r="P250" i="5"/>
  <c r="N250" i="5"/>
  <c r="H250" i="5"/>
  <c r="C250" i="5"/>
  <c r="L250" i="5" s="1"/>
  <c r="P249" i="5"/>
  <c r="N249" i="5"/>
  <c r="H249" i="5"/>
  <c r="C249" i="5"/>
  <c r="L249" i="5" s="1"/>
  <c r="P248" i="5"/>
  <c r="N248" i="5"/>
  <c r="H248" i="5"/>
  <c r="C248" i="5"/>
  <c r="L248" i="5" s="1"/>
  <c r="P247" i="5"/>
  <c r="N247" i="5"/>
  <c r="H247" i="5"/>
  <c r="C247" i="5"/>
  <c r="L247" i="5" s="1"/>
  <c r="P246" i="5"/>
  <c r="N246" i="5"/>
  <c r="H246" i="5"/>
  <c r="C246" i="5"/>
  <c r="L246" i="5" s="1"/>
  <c r="P245" i="5"/>
  <c r="N245" i="5"/>
  <c r="H245" i="5"/>
  <c r="C245" i="5"/>
  <c r="L245" i="5" s="1"/>
  <c r="P244" i="5"/>
  <c r="N244" i="5"/>
  <c r="H244" i="5"/>
  <c r="C244" i="5"/>
  <c r="L244" i="5" s="1"/>
  <c r="P243" i="5"/>
  <c r="N243" i="5"/>
  <c r="H243" i="5"/>
  <c r="C243" i="5"/>
  <c r="L243" i="5" s="1"/>
  <c r="P242" i="5"/>
  <c r="N242" i="5"/>
  <c r="H242" i="5"/>
  <c r="C242" i="5"/>
  <c r="L242" i="5" s="1"/>
  <c r="P241" i="5"/>
  <c r="N241" i="5"/>
  <c r="H241" i="5"/>
  <c r="C241" i="5"/>
  <c r="L241" i="5" s="1"/>
  <c r="P240" i="5"/>
  <c r="N240" i="5"/>
  <c r="H240" i="5"/>
  <c r="C240" i="5"/>
  <c r="L240" i="5" s="1"/>
  <c r="P239" i="5"/>
  <c r="N239" i="5"/>
  <c r="H239" i="5"/>
  <c r="C239" i="5"/>
  <c r="L239" i="5" s="1"/>
  <c r="P238" i="5"/>
  <c r="N238" i="5"/>
  <c r="H238" i="5"/>
  <c r="C238" i="5"/>
  <c r="L238" i="5" s="1"/>
  <c r="P237" i="5"/>
  <c r="N237" i="5"/>
  <c r="H237" i="5"/>
  <c r="C237" i="5"/>
  <c r="L237" i="5" s="1"/>
  <c r="P236" i="5"/>
  <c r="N236" i="5"/>
  <c r="H236" i="5"/>
  <c r="C236" i="5"/>
  <c r="L236" i="5" s="1"/>
  <c r="P235" i="5"/>
  <c r="N235" i="5"/>
  <c r="H235" i="5"/>
  <c r="C235" i="5"/>
  <c r="L235" i="5" s="1"/>
  <c r="P234" i="5"/>
  <c r="N234" i="5"/>
  <c r="H234" i="5"/>
  <c r="C234" i="5"/>
  <c r="L234" i="5" s="1"/>
  <c r="P233" i="5"/>
  <c r="N233" i="5"/>
  <c r="H233" i="5"/>
  <c r="C233" i="5"/>
  <c r="L233" i="5" s="1"/>
  <c r="P232" i="5"/>
  <c r="N232" i="5"/>
  <c r="H232" i="5"/>
  <c r="C232" i="5"/>
  <c r="L232" i="5" s="1"/>
  <c r="P231" i="5"/>
  <c r="N231" i="5"/>
  <c r="H231" i="5"/>
  <c r="C231" i="5"/>
  <c r="L231" i="5" s="1"/>
  <c r="P230" i="5"/>
  <c r="N230" i="5"/>
  <c r="H230" i="5"/>
  <c r="C230" i="5"/>
  <c r="L230" i="5" s="1"/>
  <c r="P229" i="5"/>
  <c r="N229" i="5"/>
  <c r="H229" i="5"/>
  <c r="C229" i="5"/>
  <c r="L229" i="5" s="1"/>
  <c r="P228" i="5"/>
  <c r="N228" i="5"/>
  <c r="H228" i="5"/>
  <c r="C228" i="5"/>
  <c r="L228" i="5" s="1"/>
  <c r="P227" i="5"/>
  <c r="N227" i="5"/>
  <c r="H227" i="5"/>
  <c r="C227" i="5"/>
  <c r="L227" i="5" s="1"/>
  <c r="P226" i="5"/>
  <c r="N226" i="5"/>
  <c r="H226" i="5"/>
  <c r="C226" i="5"/>
  <c r="L226" i="5" s="1"/>
  <c r="P225" i="5"/>
  <c r="N225" i="5"/>
  <c r="H225" i="5"/>
  <c r="C225" i="5"/>
  <c r="L225" i="5" s="1"/>
  <c r="P224" i="5"/>
  <c r="N224" i="5"/>
  <c r="H224" i="5"/>
  <c r="C224" i="5"/>
  <c r="L224" i="5" s="1"/>
  <c r="P223" i="5"/>
  <c r="N223" i="5"/>
  <c r="H223" i="5"/>
  <c r="C223" i="5"/>
  <c r="L223" i="5" s="1"/>
  <c r="P222" i="5"/>
  <c r="N222" i="5"/>
  <c r="H222" i="5"/>
  <c r="C222" i="5"/>
  <c r="L222" i="5" s="1"/>
  <c r="P221" i="5"/>
  <c r="N221" i="5"/>
  <c r="H221" i="5"/>
  <c r="C221" i="5"/>
  <c r="L221" i="5" s="1"/>
  <c r="P220" i="5"/>
  <c r="N220" i="5"/>
  <c r="H220" i="5"/>
  <c r="C220" i="5"/>
  <c r="L220" i="5" s="1"/>
  <c r="P219" i="5"/>
  <c r="N219" i="5"/>
  <c r="H219" i="5"/>
  <c r="C219" i="5"/>
  <c r="L219" i="5" s="1"/>
  <c r="P218" i="5"/>
  <c r="N218" i="5"/>
  <c r="H218" i="5"/>
  <c r="C218" i="5"/>
  <c r="L218" i="5" s="1"/>
  <c r="P217" i="5"/>
  <c r="N217" i="5"/>
  <c r="H217" i="5"/>
  <c r="C217" i="5"/>
  <c r="L217" i="5" s="1"/>
  <c r="P216" i="5"/>
  <c r="N216" i="5"/>
  <c r="H216" i="5"/>
  <c r="C216" i="5"/>
  <c r="L216" i="5" s="1"/>
  <c r="P215" i="5"/>
  <c r="N215" i="5"/>
  <c r="H215" i="5"/>
  <c r="C215" i="5"/>
  <c r="L215" i="5" s="1"/>
  <c r="P214" i="5"/>
  <c r="N214" i="5"/>
  <c r="H214" i="5"/>
  <c r="C214" i="5"/>
  <c r="L214" i="5" s="1"/>
  <c r="P213" i="5"/>
  <c r="N213" i="5"/>
  <c r="H213" i="5"/>
  <c r="C213" i="5"/>
  <c r="L213" i="5" s="1"/>
  <c r="P212" i="5"/>
  <c r="N212" i="5"/>
  <c r="H212" i="5"/>
  <c r="C212" i="5"/>
  <c r="L212" i="5" s="1"/>
  <c r="P211" i="5"/>
  <c r="N211" i="5"/>
  <c r="H211" i="5"/>
  <c r="C211" i="5"/>
  <c r="L211" i="5" s="1"/>
  <c r="P210" i="5"/>
  <c r="N210" i="5"/>
  <c r="H210" i="5"/>
  <c r="C210" i="5"/>
  <c r="L210" i="5" s="1"/>
  <c r="P209" i="5"/>
  <c r="N209" i="5"/>
  <c r="H209" i="5"/>
  <c r="C209" i="5"/>
  <c r="L209" i="5" s="1"/>
  <c r="P208" i="5"/>
  <c r="N208" i="5"/>
  <c r="H208" i="5"/>
  <c r="C208" i="5"/>
  <c r="L208" i="5" s="1"/>
  <c r="P207" i="5"/>
  <c r="N207" i="5"/>
  <c r="H207" i="5"/>
  <c r="C207" i="5"/>
  <c r="L207" i="5" s="1"/>
  <c r="P206" i="5"/>
  <c r="N206" i="5"/>
  <c r="H206" i="5"/>
  <c r="C206" i="5"/>
  <c r="L206" i="5" s="1"/>
  <c r="P205" i="5"/>
  <c r="N205" i="5"/>
  <c r="H205" i="5"/>
  <c r="C205" i="5"/>
  <c r="L205" i="5" s="1"/>
  <c r="P204" i="5"/>
  <c r="N204" i="5"/>
  <c r="H204" i="5"/>
  <c r="C204" i="5"/>
  <c r="L204" i="5" s="1"/>
  <c r="P203" i="5"/>
  <c r="N203" i="5"/>
  <c r="H203" i="5"/>
  <c r="C203" i="5"/>
  <c r="L203" i="5" s="1"/>
  <c r="P202" i="5"/>
  <c r="N202" i="5"/>
  <c r="H202" i="5"/>
  <c r="C202" i="5"/>
  <c r="L202" i="5" s="1"/>
  <c r="P201" i="5"/>
  <c r="N201" i="5"/>
  <c r="H201" i="5"/>
  <c r="C201" i="5"/>
  <c r="L201" i="5" s="1"/>
  <c r="P200" i="5"/>
  <c r="N200" i="5"/>
  <c r="H200" i="5"/>
  <c r="C200" i="5"/>
  <c r="L200" i="5" s="1"/>
  <c r="P199" i="5"/>
  <c r="N199" i="5"/>
  <c r="H199" i="5"/>
  <c r="C199" i="5"/>
  <c r="L199" i="5" s="1"/>
  <c r="P198" i="5"/>
  <c r="N198" i="5"/>
  <c r="H198" i="5"/>
  <c r="C198" i="5"/>
  <c r="L198" i="5" s="1"/>
  <c r="N196" i="5"/>
  <c r="E196" i="5"/>
  <c r="P196" i="5" s="1"/>
  <c r="N195" i="5"/>
  <c r="H195" i="5"/>
  <c r="E195" i="5"/>
  <c r="C195" i="5" s="1"/>
  <c r="L195" i="5" s="1"/>
  <c r="P194" i="5"/>
  <c r="N194" i="5"/>
  <c r="H194" i="5"/>
  <c r="C194" i="5"/>
  <c r="L194" i="5" s="1"/>
  <c r="P193" i="5"/>
  <c r="N193" i="5"/>
  <c r="H193" i="5"/>
  <c r="C193" i="5"/>
  <c r="L193" i="5" s="1"/>
  <c r="N192" i="5"/>
  <c r="E192" i="5"/>
  <c r="C192" i="5" s="1"/>
  <c r="L192" i="5" s="1"/>
  <c r="N191" i="5"/>
  <c r="H191" i="5"/>
  <c r="E191" i="5"/>
  <c r="P191" i="5" s="1"/>
  <c r="N190" i="5"/>
  <c r="H190" i="5"/>
  <c r="E190" i="5"/>
  <c r="N189" i="5"/>
  <c r="E189" i="5"/>
  <c r="P189" i="5" s="1"/>
  <c r="N188" i="5"/>
  <c r="H188" i="5"/>
  <c r="E188" i="5"/>
  <c r="C188" i="5" s="1"/>
  <c r="L188" i="5" s="1"/>
  <c r="N187" i="5"/>
  <c r="H187" i="5"/>
  <c r="E187" i="5"/>
  <c r="C187" i="5" s="1"/>
  <c r="L187" i="5" s="1"/>
  <c r="P186" i="5"/>
  <c r="N186" i="5"/>
  <c r="E186" i="5"/>
  <c r="C186" i="5"/>
  <c r="L186" i="5" s="1"/>
  <c r="N185" i="5"/>
  <c r="H185" i="5"/>
  <c r="E185" i="5"/>
  <c r="P185" i="5" s="1"/>
  <c r="N184" i="5"/>
  <c r="H184" i="5"/>
  <c r="E184" i="5"/>
  <c r="P184" i="5" s="1"/>
  <c r="N183" i="5"/>
  <c r="H183" i="5"/>
  <c r="E183" i="5"/>
  <c r="P183" i="5" s="1"/>
  <c r="N182" i="5"/>
  <c r="E182" i="5"/>
  <c r="P182" i="5" s="1"/>
  <c r="N181" i="5"/>
  <c r="H181" i="5"/>
  <c r="E181" i="5"/>
  <c r="P181" i="5" s="1"/>
  <c r="N180" i="5"/>
  <c r="H180" i="5"/>
  <c r="E180" i="5"/>
  <c r="P180" i="5" s="1"/>
  <c r="N179" i="5"/>
  <c r="H179" i="5"/>
  <c r="E179" i="5"/>
  <c r="P179" i="5" s="1"/>
  <c r="N178" i="5"/>
  <c r="H178" i="5"/>
  <c r="E178" i="5"/>
  <c r="P178" i="5" s="1"/>
  <c r="P177" i="5"/>
  <c r="N177" i="5"/>
  <c r="E177" i="5"/>
  <c r="C177" i="5" s="1"/>
  <c r="L177" i="5" s="1"/>
  <c r="N176" i="5"/>
  <c r="H176" i="5"/>
  <c r="E176" i="5"/>
  <c r="P176" i="5" s="1"/>
  <c r="N175" i="5"/>
  <c r="H175" i="5"/>
  <c r="E175" i="5"/>
  <c r="P175" i="5" s="1"/>
  <c r="N174" i="5"/>
  <c r="H174" i="5"/>
  <c r="E174" i="5"/>
  <c r="P174" i="5" s="1"/>
  <c r="C174" i="5"/>
  <c r="L174" i="5" s="1"/>
  <c r="P173" i="5"/>
  <c r="N173" i="5"/>
  <c r="H173" i="5"/>
  <c r="C173" i="5"/>
  <c r="L173" i="5" s="1"/>
  <c r="P172" i="5"/>
  <c r="N172" i="5"/>
  <c r="H172" i="5"/>
  <c r="C172" i="5"/>
  <c r="L172" i="5" s="1"/>
  <c r="N171" i="5"/>
  <c r="H171" i="5"/>
  <c r="E171" i="5"/>
  <c r="N170" i="5"/>
  <c r="E170" i="5"/>
  <c r="P170" i="5" s="1"/>
  <c r="N169" i="5"/>
  <c r="H169" i="5"/>
  <c r="E169" i="5"/>
  <c r="P169" i="5" s="1"/>
  <c r="N168" i="5"/>
  <c r="H168" i="5"/>
  <c r="E168" i="5"/>
  <c r="P168" i="5" s="1"/>
  <c r="N167" i="5"/>
  <c r="E167" i="5"/>
  <c r="P167" i="5" s="1"/>
  <c r="N166" i="5"/>
  <c r="E166" i="5"/>
  <c r="C166" i="5" s="1"/>
  <c r="L166" i="5" s="1"/>
  <c r="N165" i="5"/>
  <c r="E165" i="5"/>
  <c r="C165" i="5" s="1"/>
  <c r="L165" i="5" s="1"/>
  <c r="N164" i="5"/>
  <c r="H164" i="5"/>
  <c r="E164" i="5"/>
  <c r="P164" i="5" s="1"/>
  <c r="N163" i="5"/>
  <c r="H163" i="5"/>
  <c r="E163" i="5"/>
  <c r="P163" i="5" s="1"/>
  <c r="N162" i="5"/>
  <c r="H162" i="5"/>
  <c r="E162" i="5"/>
  <c r="P162" i="5" s="1"/>
  <c r="N161" i="5"/>
  <c r="H161" i="5"/>
  <c r="E161" i="5"/>
  <c r="P161" i="5" s="1"/>
  <c r="P160" i="5"/>
  <c r="N160" i="5"/>
  <c r="E160" i="5"/>
  <c r="C160" i="5"/>
  <c r="L160" i="5" s="1"/>
  <c r="P159" i="5"/>
  <c r="N159" i="5"/>
  <c r="H159" i="5"/>
  <c r="E159" i="5"/>
  <c r="C159" i="5"/>
  <c r="L159" i="5" s="1"/>
  <c r="N158" i="5"/>
  <c r="H158" i="5"/>
  <c r="E158" i="5"/>
  <c r="C158" i="5" s="1"/>
  <c r="L158" i="5" s="1"/>
  <c r="N157" i="5"/>
  <c r="H157" i="5"/>
  <c r="E157" i="5"/>
  <c r="P157" i="5" s="1"/>
  <c r="N156" i="5"/>
  <c r="E156" i="5"/>
  <c r="C156" i="5" s="1"/>
  <c r="L156" i="5" s="1"/>
  <c r="N155" i="5"/>
  <c r="E155" i="5"/>
  <c r="N154" i="5"/>
  <c r="E154" i="5"/>
  <c r="P154" i="5" s="1"/>
  <c r="N153" i="5"/>
  <c r="H153" i="5"/>
  <c r="E153" i="5"/>
  <c r="P153" i="5" s="1"/>
  <c r="N152" i="5"/>
  <c r="E152" i="5"/>
  <c r="P152" i="5" s="1"/>
  <c r="C152" i="5"/>
  <c r="L152" i="5" s="1"/>
  <c r="N151" i="5"/>
  <c r="E151" i="5"/>
  <c r="C151" i="5" s="1"/>
  <c r="L151" i="5" s="1"/>
  <c r="N150" i="5"/>
  <c r="H150" i="5"/>
  <c r="E150" i="5"/>
  <c r="C150" i="5" s="1"/>
  <c r="L150" i="5" s="1"/>
  <c r="N149" i="5"/>
  <c r="H149" i="5"/>
  <c r="E149" i="5"/>
  <c r="C149" i="5" s="1"/>
  <c r="L149" i="5" s="1"/>
  <c r="N148" i="5"/>
  <c r="H148" i="5"/>
  <c r="E148" i="5"/>
  <c r="C148" i="5" s="1"/>
  <c r="L148" i="5" s="1"/>
  <c r="N147" i="5"/>
  <c r="H147" i="5"/>
  <c r="E147" i="5"/>
  <c r="C147" i="5" s="1"/>
  <c r="L147" i="5" s="1"/>
  <c r="N146" i="5"/>
  <c r="H146" i="5"/>
  <c r="E146" i="5"/>
  <c r="C146" i="5" s="1"/>
  <c r="L146" i="5" s="1"/>
  <c r="P145" i="5"/>
  <c r="N145" i="5"/>
  <c r="H145" i="5"/>
  <c r="E145" i="5"/>
  <c r="C145" i="5" s="1"/>
  <c r="L145" i="5" s="1"/>
  <c r="N144" i="5"/>
  <c r="H144" i="5"/>
  <c r="E144" i="5"/>
  <c r="C144" i="5" s="1"/>
  <c r="L144" i="5" s="1"/>
  <c r="N143" i="5"/>
  <c r="E143" i="5"/>
  <c r="P142" i="5"/>
  <c r="N142" i="5"/>
  <c r="H142" i="5"/>
  <c r="C142" i="5"/>
  <c r="L142" i="5" s="1"/>
  <c r="P141" i="5"/>
  <c r="N141" i="5"/>
  <c r="H141" i="5"/>
  <c r="C141" i="5"/>
  <c r="L141" i="5" s="1"/>
  <c r="N140" i="5"/>
  <c r="E140" i="5"/>
  <c r="C140" i="5" s="1"/>
  <c r="L140" i="5" s="1"/>
  <c r="N139" i="5"/>
  <c r="H139" i="5"/>
  <c r="E139" i="5"/>
  <c r="C139" i="5" s="1"/>
  <c r="L139" i="5" s="1"/>
  <c r="P138" i="5"/>
  <c r="N138" i="5"/>
  <c r="H138" i="5"/>
  <c r="C138" i="5"/>
  <c r="L138" i="5" s="1"/>
  <c r="P137" i="5"/>
  <c r="N137" i="5"/>
  <c r="C137" i="5"/>
  <c r="L137" i="5" s="1"/>
  <c r="P136" i="5"/>
  <c r="N136" i="5"/>
  <c r="H136" i="5"/>
  <c r="C136" i="5"/>
  <c r="L136" i="5" s="1"/>
  <c r="P135" i="5"/>
  <c r="N135" i="5"/>
  <c r="H135" i="5"/>
  <c r="C135" i="5"/>
  <c r="L135" i="5" s="1"/>
  <c r="P134" i="5"/>
  <c r="N134" i="5"/>
  <c r="H134" i="5"/>
  <c r="C134" i="5"/>
  <c r="L134" i="5" s="1"/>
  <c r="N133" i="5"/>
  <c r="H133" i="5"/>
  <c r="E133" i="5"/>
  <c r="P133" i="5" s="1"/>
  <c r="P132" i="5"/>
  <c r="N132" i="5"/>
  <c r="H132" i="5"/>
  <c r="C132" i="5"/>
  <c r="L132" i="5" s="1"/>
  <c r="P131" i="5"/>
  <c r="N131" i="5"/>
  <c r="H131" i="5"/>
  <c r="C131" i="5"/>
  <c r="L131" i="5" s="1"/>
  <c r="P130" i="5"/>
  <c r="N130" i="5"/>
  <c r="H130" i="5"/>
  <c r="C130" i="5"/>
  <c r="L130" i="5" s="1"/>
  <c r="P129" i="5"/>
  <c r="N129" i="5"/>
  <c r="H129" i="5"/>
  <c r="C129" i="5"/>
  <c r="L129" i="5" s="1"/>
  <c r="N128" i="5"/>
  <c r="E128" i="5"/>
  <c r="N127" i="5"/>
  <c r="H127" i="5"/>
  <c r="E127" i="5"/>
  <c r="C127" i="5" s="1"/>
  <c r="L127" i="5" s="1"/>
  <c r="N126" i="5"/>
  <c r="H126" i="5"/>
  <c r="E126" i="5"/>
  <c r="C126" i="5" s="1"/>
  <c r="L126" i="5" s="1"/>
  <c r="N125" i="5"/>
  <c r="H125" i="5"/>
  <c r="E125" i="5"/>
  <c r="C125" i="5" s="1"/>
  <c r="L125" i="5" s="1"/>
  <c r="N124" i="5"/>
  <c r="E124" i="5"/>
  <c r="P124" i="5" s="1"/>
  <c r="N123" i="5"/>
  <c r="H123" i="5"/>
  <c r="E123" i="5"/>
  <c r="P123" i="5" s="1"/>
  <c r="N122" i="5"/>
  <c r="H122" i="5"/>
  <c r="E122" i="5"/>
  <c r="P122" i="5" s="1"/>
  <c r="N121" i="5"/>
  <c r="H121" i="5"/>
  <c r="E121" i="5"/>
  <c r="P121" i="5" s="1"/>
  <c r="N120" i="5"/>
  <c r="H120" i="5"/>
  <c r="E120" i="5"/>
  <c r="C120" i="5" s="1"/>
  <c r="L120" i="5" s="1"/>
  <c r="N119" i="5"/>
  <c r="H119" i="5"/>
  <c r="E119" i="5"/>
  <c r="P119" i="5" s="1"/>
  <c r="N118" i="5"/>
  <c r="H118" i="5"/>
  <c r="E118" i="5"/>
  <c r="C118" i="5" s="1"/>
  <c r="L118" i="5" s="1"/>
  <c r="N117" i="5"/>
  <c r="E117" i="5"/>
  <c r="N116" i="5"/>
  <c r="E116" i="5"/>
  <c r="P116" i="5" s="1"/>
  <c r="N115" i="5"/>
  <c r="H115" i="5"/>
  <c r="E115" i="5"/>
  <c r="P115" i="5" s="1"/>
  <c r="N114" i="5"/>
  <c r="E114" i="5"/>
  <c r="N113" i="5"/>
  <c r="E113" i="5"/>
  <c r="P113" i="5" s="1"/>
  <c r="N112" i="5"/>
  <c r="H112" i="5"/>
  <c r="E112" i="5"/>
  <c r="P112" i="5" s="1"/>
  <c r="N111" i="5"/>
  <c r="H111" i="5"/>
  <c r="E111" i="5"/>
  <c r="P111" i="5" s="1"/>
  <c r="N110" i="5"/>
  <c r="H110" i="5"/>
  <c r="E110" i="5"/>
  <c r="P110" i="5" s="1"/>
  <c r="N109" i="5"/>
  <c r="E109" i="5"/>
  <c r="N108" i="5"/>
  <c r="L108" i="5"/>
  <c r="H108" i="5"/>
  <c r="E108" i="5"/>
  <c r="C108" i="5" s="1"/>
  <c r="N107" i="5"/>
  <c r="E107" i="5"/>
  <c r="P107" i="5" s="1"/>
  <c r="N106" i="5"/>
  <c r="H106" i="5"/>
  <c r="E106" i="5"/>
  <c r="P106" i="5" s="1"/>
  <c r="N105" i="5"/>
  <c r="H105" i="5"/>
  <c r="E105" i="5"/>
  <c r="P105" i="5" s="1"/>
  <c r="N104" i="5"/>
  <c r="H104" i="5"/>
  <c r="E104" i="5"/>
  <c r="P104" i="5" s="1"/>
  <c r="N103" i="5"/>
  <c r="H103" i="5"/>
  <c r="E103" i="5"/>
  <c r="P103" i="5" s="1"/>
  <c r="N102" i="5"/>
  <c r="H102" i="5"/>
  <c r="E102" i="5"/>
  <c r="P102" i="5" s="1"/>
  <c r="N101" i="5"/>
  <c r="E101" i="5"/>
  <c r="N100" i="5"/>
  <c r="E100" i="5"/>
  <c r="P100" i="5" s="1"/>
  <c r="N99" i="5"/>
  <c r="H99" i="5"/>
  <c r="E99" i="5"/>
  <c r="P99" i="5" s="1"/>
  <c r="N98" i="5"/>
  <c r="E98" i="5"/>
  <c r="P98" i="5" s="1"/>
  <c r="C98" i="5"/>
  <c r="L98" i="5" s="1"/>
  <c r="N97" i="5"/>
  <c r="E97" i="5"/>
  <c r="C97" i="5" s="1"/>
  <c r="L97" i="5" s="1"/>
  <c r="N96" i="5"/>
  <c r="H96" i="5"/>
  <c r="E96" i="5"/>
  <c r="C96" i="5" s="1"/>
  <c r="L96" i="5" s="1"/>
  <c r="P95" i="5"/>
  <c r="N95" i="5"/>
  <c r="H95" i="5"/>
  <c r="E95" i="5"/>
  <c r="C95" i="5" s="1"/>
  <c r="L95" i="5" s="1"/>
  <c r="N94" i="5"/>
  <c r="H94" i="5"/>
  <c r="E94" i="5"/>
  <c r="C94" i="5" s="1"/>
  <c r="L94" i="5" s="1"/>
  <c r="N93" i="5"/>
  <c r="E93" i="5"/>
  <c r="N92" i="5"/>
  <c r="H92" i="5"/>
  <c r="E92" i="5"/>
  <c r="N91" i="5"/>
  <c r="H91" i="5"/>
  <c r="E91" i="5"/>
  <c r="N90" i="5"/>
  <c r="H90" i="5"/>
  <c r="E90" i="5"/>
  <c r="N89" i="5"/>
  <c r="E89" i="5"/>
  <c r="P89" i="5" s="1"/>
  <c r="N88" i="5"/>
  <c r="H88" i="5"/>
  <c r="E88" i="5"/>
  <c r="P88" i="5" s="1"/>
  <c r="N87" i="5"/>
  <c r="H87" i="5"/>
  <c r="E87" i="5"/>
  <c r="P87" i="5" s="1"/>
  <c r="N86" i="5"/>
  <c r="H86" i="5"/>
  <c r="E86" i="5"/>
  <c r="P86" i="5" s="1"/>
  <c r="N85" i="5"/>
  <c r="H85" i="5"/>
  <c r="E85" i="5"/>
  <c r="P85" i="5" s="1"/>
  <c r="N84" i="5"/>
  <c r="H84" i="5"/>
  <c r="E84" i="5"/>
  <c r="P84" i="5" s="1"/>
  <c r="N83" i="5"/>
  <c r="H83" i="5"/>
  <c r="E83" i="5"/>
  <c r="P83" i="5" s="1"/>
  <c r="C83" i="5"/>
  <c r="L83" i="5" s="1"/>
  <c r="N82" i="5"/>
  <c r="H82" i="5"/>
  <c r="E82" i="5"/>
  <c r="P82" i="5" s="1"/>
  <c r="N81" i="5"/>
  <c r="E81" i="5"/>
  <c r="P81" i="5" s="1"/>
  <c r="N80" i="5"/>
  <c r="H80" i="5"/>
  <c r="E80" i="5"/>
  <c r="P80" i="5" s="1"/>
  <c r="C80" i="5"/>
  <c r="L80" i="5" s="1"/>
  <c r="N79" i="5"/>
  <c r="E79" i="5"/>
  <c r="C79" i="5" s="1"/>
  <c r="L79" i="5" s="1"/>
  <c r="N78" i="5"/>
  <c r="H78" i="5"/>
  <c r="E78" i="5"/>
  <c r="C78" i="5" s="1"/>
  <c r="L78" i="5" s="1"/>
  <c r="N77" i="5"/>
  <c r="E77" i="5"/>
  <c r="N76" i="5"/>
  <c r="E76" i="5"/>
  <c r="P76" i="5" s="1"/>
  <c r="N75" i="5"/>
  <c r="H75" i="5"/>
  <c r="E75" i="5"/>
  <c r="P75" i="5" s="1"/>
  <c r="R73" i="5"/>
  <c r="P73" i="5"/>
  <c r="N73" i="5"/>
  <c r="H73" i="5"/>
  <c r="C73" i="5"/>
  <c r="L73" i="5" s="1"/>
  <c r="R72" i="5"/>
  <c r="P72" i="5"/>
  <c r="N72" i="5"/>
  <c r="H72" i="5"/>
  <c r="C72" i="5"/>
  <c r="L72" i="5" s="1"/>
  <c r="R71" i="5"/>
  <c r="P71" i="5"/>
  <c r="N71" i="5"/>
  <c r="H71" i="5"/>
  <c r="C71" i="5"/>
  <c r="L71" i="5" s="1"/>
  <c r="R70" i="5"/>
  <c r="P70" i="5"/>
  <c r="N70" i="5"/>
  <c r="H70" i="5"/>
  <c r="C70" i="5"/>
  <c r="L70" i="5" s="1"/>
  <c r="R69" i="5"/>
  <c r="P69" i="5"/>
  <c r="N69" i="5"/>
  <c r="H69" i="5"/>
  <c r="C69" i="5"/>
  <c r="L69" i="5" s="1"/>
  <c r="R68" i="5"/>
  <c r="P68" i="5"/>
  <c r="N68" i="5"/>
  <c r="H68" i="5"/>
  <c r="C68" i="5"/>
  <c r="L68" i="5" s="1"/>
  <c r="R67" i="5"/>
  <c r="P67" i="5"/>
  <c r="N67" i="5"/>
  <c r="H67" i="5"/>
  <c r="C67" i="5"/>
  <c r="L67" i="5" s="1"/>
  <c r="R66" i="5"/>
  <c r="P66" i="5"/>
  <c r="N66" i="5"/>
  <c r="H66" i="5"/>
  <c r="C66" i="5"/>
  <c r="L66" i="5" s="1"/>
  <c r="R65" i="5"/>
  <c r="P65" i="5"/>
  <c r="N65" i="5"/>
  <c r="H65" i="5"/>
  <c r="C65" i="5"/>
  <c r="L65" i="5" s="1"/>
  <c r="R64" i="5"/>
  <c r="P64" i="5"/>
  <c r="N64" i="5"/>
  <c r="H64" i="5"/>
  <c r="C64" i="5"/>
  <c r="L64" i="5" s="1"/>
  <c r="R63" i="5"/>
  <c r="P63" i="5"/>
  <c r="N63" i="5"/>
  <c r="H63" i="5"/>
  <c r="C63" i="5"/>
  <c r="L63" i="5" s="1"/>
  <c r="R62" i="5"/>
  <c r="P62" i="5"/>
  <c r="N62" i="5"/>
  <c r="H62" i="5"/>
  <c r="C62" i="5"/>
  <c r="L62" i="5" s="1"/>
  <c r="R61" i="5"/>
  <c r="P61" i="5"/>
  <c r="N61" i="5"/>
  <c r="H61" i="5"/>
  <c r="C61" i="5"/>
  <c r="L61" i="5" s="1"/>
  <c r="R60" i="5"/>
  <c r="P60" i="5"/>
  <c r="N60" i="5"/>
  <c r="H60" i="5"/>
  <c r="C60" i="5"/>
  <c r="L60" i="5" s="1"/>
  <c r="R59" i="5"/>
  <c r="P59" i="5"/>
  <c r="N59" i="5"/>
  <c r="H59" i="5"/>
  <c r="C59" i="5"/>
  <c r="L59" i="5" s="1"/>
  <c r="R58" i="5"/>
  <c r="P58" i="5"/>
  <c r="N58" i="5"/>
  <c r="H58" i="5"/>
  <c r="C58" i="5"/>
  <c r="L58" i="5" s="1"/>
  <c r="R57" i="5"/>
  <c r="P57" i="5"/>
  <c r="N57" i="5"/>
  <c r="H57" i="5"/>
  <c r="C57" i="5"/>
  <c r="L57" i="5" s="1"/>
  <c r="R56" i="5"/>
  <c r="P56" i="5"/>
  <c r="N56" i="5"/>
  <c r="H56" i="5"/>
  <c r="C56" i="5"/>
  <c r="L56" i="5" s="1"/>
  <c r="R55" i="5"/>
  <c r="P55" i="5"/>
  <c r="N55" i="5"/>
  <c r="H55" i="5"/>
  <c r="C55" i="5"/>
  <c r="L55" i="5" s="1"/>
  <c r="R54" i="5"/>
  <c r="P54" i="5"/>
  <c r="N54" i="5"/>
  <c r="H54" i="5"/>
  <c r="C54" i="5"/>
  <c r="L54" i="5" s="1"/>
  <c r="R53" i="5"/>
  <c r="P53" i="5"/>
  <c r="N53" i="5"/>
  <c r="H53" i="5"/>
  <c r="C53" i="5"/>
  <c r="L53" i="5" s="1"/>
  <c r="R52" i="5"/>
  <c r="P52" i="5"/>
  <c r="N52" i="5"/>
  <c r="H52" i="5"/>
  <c r="C52" i="5"/>
  <c r="L52" i="5" s="1"/>
  <c r="R51" i="5"/>
  <c r="P51" i="5"/>
  <c r="N51" i="5"/>
  <c r="H51" i="5"/>
  <c r="C51" i="5"/>
  <c r="L51" i="5" s="1"/>
  <c r="R50" i="5"/>
  <c r="P50" i="5"/>
  <c r="N50" i="5"/>
  <c r="H50" i="5"/>
  <c r="C50" i="5"/>
  <c r="L50" i="5" s="1"/>
  <c r="R49" i="5"/>
  <c r="P49" i="5"/>
  <c r="N49" i="5"/>
  <c r="H49" i="5"/>
  <c r="C49" i="5"/>
  <c r="L49" i="5" s="1"/>
  <c r="R48" i="5"/>
  <c r="P48" i="5"/>
  <c r="N48" i="5"/>
  <c r="H48" i="5"/>
  <c r="C48" i="5"/>
  <c r="L48" i="5" s="1"/>
  <c r="R47" i="5"/>
  <c r="P47" i="5"/>
  <c r="N47" i="5"/>
  <c r="H47" i="5"/>
  <c r="C47" i="5"/>
  <c r="L47" i="5" s="1"/>
  <c r="R46" i="5"/>
  <c r="P46" i="5"/>
  <c r="N46" i="5"/>
  <c r="H46" i="5"/>
  <c r="C46" i="5"/>
  <c r="L46" i="5" s="1"/>
  <c r="R45" i="5"/>
  <c r="P45" i="5"/>
  <c r="N45" i="5"/>
  <c r="H45" i="5"/>
  <c r="C45" i="5"/>
  <c r="L45" i="5" s="1"/>
  <c r="R44" i="5"/>
  <c r="P44" i="5"/>
  <c r="N44" i="5"/>
  <c r="H44" i="5"/>
  <c r="C44" i="5"/>
  <c r="L44" i="5" s="1"/>
  <c r="R43" i="5"/>
  <c r="P43" i="5"/>
  <c r="N43" i="5"/>
  <c r="H43" i="5"/>
  <c r="C43" i="5"/>
  <c r="L43" i="5" s="1"/>
  <c r="R42" i="5"/>
  <c r="P42" i="5"/>
  <c r="N42" i="5"/>
  <c r="H42" i="5"/>
  <c r="C42" i="5"/>
  <c r="L42" i="5" s="1"/>
  <c r="R41" i="5"/>
  <c r="P41" i="5"/>
  <c r="N41" i="5"/>
  <c r="H41" i="5"/>
  <c r="C41" i="5"/>
  <c r="L41" i="5" s="1"/>
  <c r="R40" i="5"/>
  <c r="P40" i="5"/>
  <c r="N40" i="5"/>
  <c r="H40" i="5"/>
  <c r="C40" i="5"/>
  <c r="L40" i="5" s="1"/>
  <c r="R39" i="5"/>
  <c r="P39" i="5"/>
  <c r="N39" i="5"/>
  <c r="H39" i="5"/>
  <c r="C39" i="5"/>
  <c r="L39" i="5" s="1"/>
  <c r="R38" i="5"/>
  <c r="P38" i="5"/>
  <c r="N38" i="5"/>
  <c r="H38" i="5"/>
  <c r="C38" i="5"/>
  <c r="L38" i="5" s="1"/>
  <c r="R37" i="5"/>
  <c r="P37" i="5"/>
  <c r="N37" i="5"/>
  <c r="H37" i="5"/>
  <c r="C37" i="5"/>
  <c r="L37" i="5" s="1"/>
  <c r="H36" i="5"/>
  <c r="F36" i="5"/>
  <c r="E36" i="5"/>
  <c r="P36" i="5" s="1"/>
  <c r="D36" i="5"/>
  <c r="N36" i="5" s="1"/>
  <c r="R35" i="5"/>
  <c r="P35" i="5"/>
  <c r="N35" i="5"/>
  <c r="H35" i="5"/>
  <c r="C35" i="5"/>
  <c r="L35" i="5" s="1"/>
  <c r="R34" i="5"/>
  <c r="P34" i="5"/>
  <c r="N34" i="5"/>
  <c r="H34" i="5"/>
  <c r="C34" i="5"/>
  <c r="L34" i="5" s="1"/>
  <c r="H33" i="5"/>
  <c r="F33" i="5"/>
  <c r="R33" i="5" s="1"/>
  <c r="E33" i="5"/>
  <c r="P33" i="5" s="1"/>
  <c r="D33" i="5"/>
  <c r="N33" i="5" s="1"/>
  <c r="R32" i="5"/>
  <c r="P32" i="5"/>
  <c r="N32" i="5"/>
  <c r="H32" i="5"/>
  <c r="C32" i="5"/>
  <c r="L32" i="5" s="1"/>
  <c r="R31" i="5"/>
  <c r="P31" i="5"/>
  <c r="N31" i="5"/>
  <c r="H31" i="5"/>
  <c r="C31" i="5"/>
  <c r="L31" i="5" s="1"/>
  <c r="R30" i="5"/>
  <c r="P30" i="5"/>
  <c r="N30" i="5"/>
  <c r="H30" i="5"/>
  <c r="C30" i="5"/>
  <c r="L30" i="5" s="1"/>
  <c r="R29" i="5"/>
  <c r="P29" i="5"/>
  <c r="N29" i="5"/>
  <c r="H29" i="5"/>
  <c r="C29" i="5"/>
  <c r="L29" i="5" s="1"/>
  <c r="R28" i="5"/>
  <c r="P28" i="5"/>
  <c r="N28" i="5"/>
  <c r="H28" i="5"/>
  <c r="C28" i="5"/>
  <c r="L28" i="5" s="1"/>
  <c r="R27" i="5"/>
  <c r="P27" i="5"/>
  <c r="N27" i="5"/>
  <c r="H27" i="5"/>
  <c r="C27" i="5"/>
  <c r="L27" i="5" s="1"/>
  <c r="R26" i="5"/>
  <c r="P26" i="5"/>
  <c r="N26" i="5"/>
  <c r="H26" i="5"/>
  <c r="C26" i="5"/>
  <c r="L26" i="5" s="1"/>
  <c r="R25" i="5"/>
  <c r="P25" i="5"/>
  <c r="N25" i="5"/>
  <c r="H25" i="5"/>
  <c r="C25" i="5"/>
  <c r="L25" i="5" s="1"/>
  <c r="R24" i="5"/>
  <c r="P24" i="5"/>
  <c r="N24" i="5"/>
  <c r="H24" i="5"/>
  <c r="C24" i="5"/>
  <c r="L24" i="5" s="1"/>
  <c r="R23" i="5"/>
  <c r="P23" i="5"/>
  <c r="N23" i="5"/>
  <c r="H23" i="5"/>
  <c r="C23" i="5"/>
  <c r="L23" i="5" s="1"/>
  <c r="R22" i="5"/>
  <c r="P22" i="5"/>
  <c r="N22" i="5"/>
  <c r="H22" i="5"/>
  <c r="C22" i="5"/>
  <c r="L22" i="5" s="1"/>
  <c r="R21" i="5"/>
  <c r="P21" i="5"/>
  <c r="N21" i="5"/>
  <c r="H21" i="5"/>
  <c r="C21" i="5"/>
  <c r="L21" i="5" s="1"/>
  <c r="R20" i="5"/>
  <c r="P20" i="5"/>
  <c r="N20" i="5"/>
  <c r="H20" i="5"/>
  <c r="C20" i="5"/>
  <c r="L20" i="5" s="1"/>
  <c r="R19" i="5"/>
  <c r="P19" i="5"/>
  <c r="N19" i="5"/>
  <c r="H19" i="5"/>
  <c r="C19" i="5"/>
  <c r="L19" i="5" s="1"/>
  <c r="H18" i="5"/>
  <c r="F18" i="5"/>
  <c r="R18" i="5" s="1"/>
  <c r="E18" i="5"/>
  <c r="P18" i="5" s="1"/>
  <c r="D18" i="5"/>
  <c r="R17" i="5"/>
  <c r="P17" i="5"/>
  <c r="N17" i="5"/>
  <c r="H17" i="5"/>
  <c r="C17" i="5"/>
  <c r="L17" i="5" s="1"/>
  <c r="R16" i="5"/>
  <c r="P16" i="5"/>
  <c r="N16" i="5"/>
  <c r="H16" i="5"/>
  <c r="C16" i="5"/>
  <c r="L16" i="5" s="1"/>
  <c r="R15" i="5"/>
  <c r="P15" i="5"/>
  <c r="N15" i="5"/>
  <c r="H15" i="5"/>
  <c r="C15" i="5"/>
  <c r="L15" i="5" s="1"/>
  <c r="R14" i="5"/>
  <c r="P14" i="5"/>
  <c r="N14" i="5"/>
  <c r="H14" i="5"/>
  <c r="C14" i="5"/>
  <c r="L14" i="5" s="1"/>
  <c r="R13" i="5"/>
  <c r="P13" i="5"/>
  <c r="N13" i="5"/>
  <c r="H13" i="5"/>
  <c r="C13" i="5"/>
  <c r="L13" i="5" s="1"/>
  <c r="R12" i="5"/>
  <c r="P12" i="5"/>
  <c r="N12" i="5"/>
  <c r="H12" i="5"/>
  <c r="C12" i="5"/>
  <c r="L12" i="5" s="1"/>
  <c r="R11" i="5"/>
  <c r="P11" i="5"/>
  <c r="N11" i="5"/>
  <c r="H11" i="5"/>
  <c r="C11" i="5"/>
  <c r="L11" i="5" s="1"/>
  <c r="R10" i="5"/>
  <c r="N10" i="5"/>
  <c r="H10" i="5"/>
  <c r="E10" i="5"/>
  <c r="C10" i="5" s="1"/>
  <c r="L10" i="5" s="1"/>
  <c r="R9" i="5"/>
  <c r="N9" i="5"/>
  <c r="H9" i="5"/>
  <c r="E9" i="5"/>
  <c r="C9" i="5" s="1"/>
  <c r="L9" i="5" s="1"/>
  <c r="R8" i="5"/>
  <c r="N8" i="5"/>
  <c r="H8" i="5"/>
  <c r="E8" i="5"/>
  <c r="P8" i="5" s="1"/>
  <c r="R7" i="5"/>
  <c r="P7" i="5"/>
  <c r="N7" i="5"/>
  <c r="H7" i="5"/>
  <c r="C7" i="5"/>
  <c r="L7" i="5" s="1"/>
  <c r="R6" i="5"/>
  <c r="N6" i="5"/>
  <c r="H6" i="5"/>
  <c r="E6" i="5"/>
  <c r="R5" i="5"/>
  <c r="N5" i="5"/>
  <c r="H5" i="5"/>
  <c r="E5" i="5"/>
  <c r="C5" i="5" s="1"/>
  <c r="L5" i="5" s="1"/>
  <c r="R4" i="5"/>
  <c r="N4" i="5"/>
  <c r="H4" i="5"/>
  <c r="E4" i="5"/>
  <c r="C4" i="5" s="1"/>
  <c r="L4" i="5" s="1"/>
  <c r="R3" i="5"/>
  <c r="N3" i="5"/>
  <c r="H3" i="5"/>
  <c r="E3" i="5"/>
  <c r="P3" i="5" s="1"/>
  <c r="C116" i="5" l="1"/>
  <c r="L116" i="5" s="1"/>
  <c r="C167" i="5"/>
  <c r="L167" i="5" s="1"/>
  <c r="I167" i="5" s="1"/>
  <c r="J167" i="5" s="1"/>
  <c r="P4" i="5"/>
  <c r="P148" i="5"/>
  <c r="I54" i="5"/>
  <c r="J54" i="5" s="1"/>
  <c r="I83" i="5"/>
  <c r="J83" i="5" s="1"/>
  <c r="C3" i="5"/>
  <c r="L3" i="5" s="1"/>
  <c r="C8" i="5"/>
  <c r="L8" i="5" s="1"/>
  <c r="C82" i="5"/>
  <c r="L82" i="5" s="1"/>
  <c r="C110" i="5"/>
  <c r="L110" i="5" s="1"/>
  <c r="I110" i="5" s="1"/>
  <c r="J110" i="5" s="1"/>
  <c r="C115" i="5"/>
  <c r="L115" i="5" s="1"/>
  <c r="I115" i="5" s="1"/>
  <c r="J115" i="5" s="1"/>
  <c r="C191" i="5"/>
  <c r="L191" i="5" s="1"/>
  <c r="I191" i="5" s="1"/>
  <c r="J191" i="5" s="1"/>
  <c r="C89" i="5"/>
  <c r="L89" i="5" s="1"/>
  <c r="I89" i="5" s="1"/>
  <c r="J89" i="5" s="1"/>
  <c r="C85" i="5"/>
  <c r="L85" i="5" s="1"/>
  <c r="I85" i="5" s="1"/>
  <c r="J85" i="5" s="1"/>
  <c r="C113" i="5"/>
  <c r="L113" i="5" s="1"/>
  <c r="P120" i="5"/>
  <c r="P158" i="5"/>
  <c r="C163" i="5"/>
  <c r="L163" i="5" s="1"/>
  <c r="I163" i="5" s="1"/>
  <c r="J163" i="5" s="1"/>
  <c r="P118" i="5"/>
  <c r="I118" i="5" s="1"/>
  <c r="J118" i="5" s="1"/>
  <c r="I292" i="5"/>
  <c r="C81" i="5"/>
  <c r="L81" i="5" s="1"/>
  <c r="I81" i="5" s="1"/>
  <c r="J81" i="5" s="1"/>
  <c r="C104" i="5"/>
  <c r="L104" i="5" s="1"/>
  <c r="C88" i="5"/>
  <c r="L88" i="5" s="1"/>
  <c r="C86" i="5"/>
  <c r="L86" i="5" s="1"/>
  <c r="C107" i="5"/>
  <c r="L107" i="5" s="1"/>
  <c r="I107" i="5" s="1"/>
  <c r="J107" i="5" s="1"/>
  <c r="C112" i="5"/>
  <c r="L112" i="5" s="1"/>
  <c r="I112" i="5" s="1"/>
  <c r="J112" i="5" s="1"/>
  <c r="C122" i="5"/>
  <c r="L122" i="5" s="1"/>
  <c r="I122" i="5" s="1"/>
  <c r="J122" i="5" s="1"/>
  <c r="C183" i="5"/>
  <c r="L183" i="5" s="1"/>
  <c r="C111" i="5"/>
  <c r="L111" i="5" s="1"/>
  <c r="I111" i="5" s="1"/>
  <c r="J111" i="5" s="1"/>
  <c r="P79" i="5"/>
  <c r="I79" i="5" s="1"/>
  <c r="J79" i="5" s="1"/>
  <c r="C75" i="5"/>
  <c r="L75" i="5" s="1"/>
  <c r="P78" i="5"/>
  <c r="I78" i="5" s="1"/>
  <c r="J78" i="5" s="1"/>
  <c r="C102" i="5"/>
  <c r="L102" i="5" s="1"/>
  <c r="C105" i="5"/>
  <c r="L105" i="5" s="1"/>
  <c r="C123" i="5"/>
  <c r="L123" i="5" s="1"/>
  <c r="I123" i="5" s="1"/>
  <c r="J123" i="5" s="1"/>
  <c r="P125" i="5"/>
  <c r="I125" i="5" s="1"/>
  <c r="J125" i="5" s="1"/>
  <c r="P151" i="5"/>
  <c r="I151" i="5" s="1"/>
  <c r="J151" i="5" s="1"/>
  <c r="C161" i="5"/>
  <c r="L161" i="5" s="1"/>
  <c r="I161" i="5" s="1"/>
  <c r="J161" i="5" s="1"/>
  <c r="C175" i="5"/>
  <c r="L175" i="5" s="1"/>
  <c r="I175" i="5" s="1"/>
  <c r="J175" i="5" s="1"/>
  <c r="C184" i="5"/>
  <c r="L184" i="5" s="1"/>
  <c r="P9" i="5"/>
  <c r="C99" i="5"/>
  <c r="L99" i="5" s="1"/>
  <c r="I99" i="5" s="1"/>
  <c r="J99" i="5" s="1"/>
  <c r="C121" i="5"/>
  <c r="L121" i="5" s="1"/>
  <c r="I121" i="5" s="1"/>
  <c r="J121" i="5" s="1"/>
  <c r="C133" i="5"/>
  <c r="L133" i="5" s="1"/>
  <c r="I133" i="5" s="1"/>
  <c r="J133" i="5" s="1"/>
  <c r="C169" i="5"/>
  <c r="L169" i="5" s="1"/>
  <c r="I169" i="5" s="1"/>
  <c r="J169" i="5" s="1"/>
  <c r="C178" i="5"/>
  <c r="L178" i="5" s="1"/>
  <c r="I24" i="5"/>
  <c r="J24" i="5" s="1"/>
  <c r="C76" i="5"/>
  <c r="L76" i="5" s="1"/>
  <c r="I76" i="5" s="1"/>
  <c r="J76" i="5" s="1"/>
  <c r="C103" i="5"/>
  <c r="L103" i="5" s="1"/>
  <c r="C106" i="5"/>
  <c r="L106" i="5" s="1"/>
  <c r="I106" i="5" s="1"/>
  <c r="J106" i="5" s="1"/>
  <c r="P108" i="5"/>
  <c r="I108" i="5" s="1"/>
  <c r="J108" i="5" s="1"/>
  <c r="C119" i="5"/>
  <c r="L119" i="5" s="1"/>
  <c r="P139" i="5"/>
  <c r="I139" i="5" s="1"/>
  <c r="J139" i="5" s="1"/>
  <c r="P156" i="5"/>
  <c r="I156" i="5" s="1"/>
  <c r="J156" i="5" s="1"/>
  <c r="C182" i="5"/>
  <c r="L182" i="5" s="1"/>
  <c r="I182" i="5" s="1"/>
  <c r="J182" i="5" s="1"/>
  <c r="C124" i="5"/>
  <c r="L124" i="5" s="1"/>
  <c r="I124" i="5" s="1"/>
  <c r="J124" i="5" s="1"/>
  <c r="P146" i="5"/>
  <c r="I146" i="5" s="1"/>
  <c r="J146" i="5" s="1"/>
  <c r="P149" i="5"/>
  <c r="C153" i="5"/>
  <c r="L153" i="5" s="1"/>
  <c r="I153" i="5" s="1"/>
  <c r="J153" i="5" s="1"/>
  <c r="C157" i="5"/>
  <c r="L157" i="5" s="1"/>
  <c r="I157" i="5" s="1"/>
  <c r="J157" i="5" s="1"/>
  <c r="C176" i="5"/>
  <c r="L176" i="5" s="1"/>
  <c r="I176" i="5" s="1"/>
  <c r="J176" i="5" s="1"/>
  <c r="C185" i="5"/>
  <c r="L185" i="5" s="1"/>
  <c r="I185" i="5" s="1"/>
  <c r="J185" i="5" s="1"/>
  <c r="P187" i="5"/>
  <c r="I187" i="5" s="1"/>
  <c r="J187" i="5" s="1"/>
  <c r="P5" i="5"/>
  <c r="P96" i="5"/>
  <c r="C100" i="5"/>
  <c r="L100" i="5" s="1"/>
  <c r="I100" i="5" s="1"/>
  <c r="J100" i="5" s="1"/>
  <c r="P166" i="5"/>
  <c r="I166" i="5" s="1"/>
  <c r="J166" i="5" s="1"/>
  <c r="P10" i="5"/>
  <c r="I10" i="5" s="1"/>
  <c r="J10" i="5" s="1"/>
  <c r="P127" i="5"/>
  <c r="P140" i="5"/>
  <c r="C84" i="5"/>
  <c r="L84" i="5" s="1"/>
  <c r="C87" i="5"/>
  <c r="L87" i="5" s="1"/>
  <c r="I87" i="5" s="1"/>
  <c r="J87" i="5" s="1"/>
  <c r="P97" i="5"/>
  <c r="I97" i="5" s="1"/>
  <c r="J97" i="5" s="1"/>
  <c r="P144" i="5"/>
  <c r="I144" i="5" s="1"/>
  <c r="J144" i="5" s="1"/>
  <c r="P147" i="5"/>
  <c r="I147" i="5" s="1"/>
  <c r="J147" i="5" s="1"/>
  <c r="P150" i="5"/>
  <c r="C154" i="5"/>
  <c r="L154" i="5" s="1"/>
  <c r="I154" i="5" s="1"/>
  <c r="J154" i="5" s="1"/>
  <c r="C180" i="5"/>
  <c r="L180" i="5" s="1"/>
  <c r="I180" i="5" s="1"/>
  <c r="J180" i="5" s="1"/>
  <c r="P188" i="5"/>
  <c r="P192" i="5"/>
  <c r="I192" i="5" s="1"/>
  <c r="J192" i="5" s="1"/>
  <c r="P195" i="5"/>
  <c r="P94" i="5"/>
  <c r="I94" i="5" s="1"/>
  <c r="J94" i="5" s="1"/>
  <c r="I14" i="5"/>
  <c r="J14" i="5" s="1"/>
  <c r="I38" i="5"/>
  <c r="J38" i="5" s="1"/>
  <c r="I229" i="5"/>
  <c r="J229" i="5" s="1"/>
  <c r="I242" i="5"/>
  <c r="J242" i="5" s="1"/>
  <c r="I251" i="5"/>
  <c r="J251" i="5" s="1"/>
  <c r="I13" i="5"/>
  <c r="J13" i="5" s="1"/>
  <c r="I277" i="5"/>
  <c r="J277" i="5" s="1"/>
  <c r="I22" i="5"/>
  <c r="J22" i="5" s="1"/>
  <c r="I224" i="5"/>
  <c r="J224" i="5" s="1"/>
  <c r="I226" i="5"/>
  <c r="J226" i="5" s="1"/>
  <c r="I238" i="5"/>
  <c r="J238" i="5" s="1"/>
  <c r="I55" i="5"/>
  <c r="J55" i="5" s="1"/>
  <c r="I70" i="5"/>
  <c r="J70" i="5" s="1"/>
  <c r="I141" i="5"/>
  <c r="J141" i="5" s="1"/>
  <c r="I142" i="5"/>
  <c r="J142" i="5" s="1"/>
  <c r="I203" i="5"/>
  <c r="J203" i="5" s="1"/>
  <c r="I60" i="5"/>
  <c r="J60" i="5" s="1"/>
  <c r="I80" i="5"/>
  <c r="J80" i="5" s="1"/>
  <c r="I252" i="5"/>
  <c r="J252" i="5" s="1"/>
  <c r="I253" i="5"/>
  <c r="J253" i="5" s="1"/>
  <c r="I254" i="5"/>
  <c r="J254" i="5" s="1"/>
  <c r="I258" i="5"/>
  <c r="J258" i="5" s="1"/>
  <c r="I32" i="5"/>
  <c r="J32" i="5" s="1"/>
  <c r="I39" i="5"/>
  <c r="J39" i="5" s="1"/>
  <c r="I71" i="5"/>
  <c r="J71" i="5" s="1"/>
  <c r="I113" i="5"/>
  <c r="J113" i="5" s="1"/>
  <c r="I158" i="5"/>
  <c r="J158" i="5" s="1"/>
  <c r="I178" i="5"/>
  <c r="J178" i="5" s="1"/>
  <c r="I216" i="5"/>
  <c r="J216" i="5" s="1"/>
  <c r="I11" i="5"/>
  <c r="J11" i="5" s="1"/>
  <c r="I25" i="5"/>
  <c r="J25" i="5" s="1"/>
  <c r="I44" i="5"/>
  <c r="J44" i="5" s="1"/>
  <c r="I284" i="5"/>
  <c r="J284" i="5" s="1"/>
  <c r="I174" i="5"/>
  <c r="J174" i="5" s="1"/>
  <c r="I30" i="5"/>
  <c r="J30" i="5" s="1"/>
  <c r="I95" i="5"/>
  <c r="J95" i="5" s="1"/>
  <c r="I96" i="5"/>
  <c r="J96" i="5" s="1"/>
  <c r="I129" i="5"/>
  <c r="J129" i="5" s="1"/>
  <c r="I131" i="5"/>
  <c r="J131" i="5" s="1"/>
  <c r="I134" i="5"/>
  <c r="J134" i="5" s="1"/>
  <c r="I137" i="5"/>
  <c r="J137" i="5" s="1"/>
  <c r="I204" i="5"/>
  <c r="J204" i="5" s="1"/>
  <c r="I205" i="5"/>
  <c r="J205" i="5" s="1"/>
  <c r="I5" i="5"/>
  <c r="J5" i="5" s="1"/>
  <c r="I12" i="5"/>
  <c r="J12" i="5" s="1"/>
  <c r="I20" i="5"/>
  <c r="J20" i="5" s="1"/>
  <c r="I23" i="5"/>
  <c r="J23" i="5" s="1"/>
  <c r="I47" i="5"/>
  <c r="J47" i="5" s="1"/>
  <c r="I63" i="5"/>
  <c r="J63" i="5" s="1"/>
  <c r="I84" i="5"/>
  <c r="J84" i="5" s="1"/>
  <c r="I172" i="5"/>
  <c r="J172" i="5" s="1"/>
  <c r="I184" i="5"/>
  <c r="J184" i="5" s="1"/>
  <c r="I210" i="5"/>
  <c r="J210" i="5" s="1"/>
  <c r="I221" i="5"/>
  <c r="J221" i="5" s="1"/>
  <c r="I222" i="5"/>
  <c r="J222" i="5" s="1"/>
  <c r="I223" i="5"/>
  <c r="J223" i="5" s="1"/>
  <c r="I235" i="5"/>
  <c r="J235" i="5" s="1"/>
  <c r="I244" i="5"/>
  <c r="J244" i="5" s="1"/>
  <c r="I249" i="5"/>
  <c r="J249" i="5" s="1"/>
  <c r="I267" i="5"/>
  <c r="J267" i="5" s="1"/>
  <c r="I268" i="5"/>
  <c r="J268" i="5" s="1"/>
  <c r="I274" i="5"/>
  <c r="J274" i="5" s="1"/>
  <c r="I286" i="5"/>
  <c r="J286" i="5" s="1"/>
  <c r="I290" i="5"/>
  <c r="J290" i="5" s="1"/>
  <c r="I26" i="5"/>
  <c r="J26" i="5" s="1"/>
  <c r="I3" i="5"/>
  <c r="J3" i="5" s="1"/>
  <c r="I7" i="5"/>
  <c r="J7" i="5" s="1"/>
  <c r="I42" i="5"/>
  <c r="J42" i="5" s="1"/>
  <c r="I45" i="5"/>
  <c r="J45" i="5" s="1"/>
  <c r="I58" i="5"/>
  <c r="J58" i="5" s="1"/>
  <c r="I61" i="5"/>
  <c r="J61" i="5" s="1"/>
  <c r="I208" i="5"/>
  <c r="J208" i="5" s="1"/>
  <c r="I220" i="5"/>
  <c r="J220" i="5" s="1"/>
  <c r="I265" i="5"/>
  <c r="J265" i="5" s="1"/>
  <c r="I50" i="5"/>
  <c r="J50" i="5" s="1"/>
  <c r="I52" i="5"/>
  <c r="J52" i="5" s="1"/>
  <c r="I66" i="5"/>
  <c r="J66" i="5" s="1"/>
  <c r="I69" i="5"/>
  <c r="J69" i="5" s="1"/>
  <c r="I136" i="5"/>
  <c r="J136" i="5" s="1"/>
  <c r="I198" i="5"/>
  <c r="J198" i="5" s="1"/>
  <c r="I219" i="5"/>
  <c r="J219" i="5" s="1"/>
  <c r="I230" i="5"/>
  <c r="J230" i="5" s="1"/>
  <c r="I233" i="5"/>
  <c r="J233" i="5" s="1"/>
  <c r="I247" i="5"/>
  <c r="J247" i="5" s="1"/>
  <c r="I248" i="5"/>
  <c r="J248" i="5" s="1"/>
  <c r="I261" i="5"/>
  <c r="J261" i="5" s="1"/>
  <c r="S292" i="5"/>
  <c r="J292" i="5"/>
  <c r="I9" i="5"/>
  <c r="J9" i="5" s="1"/>
  <c r="I28" i="5"/>
  <c r="J28" i="5" s="1"/>
  <c r="I31" i="5"/>
  <c r="J31" i="5" s="1"/>
  <c r="I34" i="5"/>
  <c r="J34" i="5" s="1"/>
  <c r="I46" i="5"/>
  <c r="J46" i="5" s="1"/>
  <c r="I62" i="5"/>
  <c r="J62" i="5" s="1"/>
  <c r="I104" i="5"/>
  <c r="J104" i="5" s="1"/>
  <c r="I160" i="5"/>
  <c r="J160" i="5" s="1"/>
  <c r="I183" i="5"/>
  <c r="J183" i="5" s="1"/>
  <c r="I186" i="5"/>
  <c r="J186" i="5" s="1"/>
  <c r="I207" i="5"/>
  <c r="J207" i="5" s="1"/>
  <c r="I212" i="5"/>
  <c r="J212" i="5" s="1"/>
  <c r="I213" i="5"/>
  <c r="J213" i="5" s="1"/>
  <c r="I239" i="5"/>
  <c r="J239" i="5" s="1"/>
  <c r="I255" i="5"/>
  <c r="J255" i="5" s="1"/>
  <c r="I271" i="5"/>
  <c r="J271" i="5" s="1"/>
  <c r="I17" i="5"/>
  <c r="J17" i="5" s="1"/>
  <c r="I37" i="5"/>
  <c r="J37" i="5" s="1"/>
  <c r="I40" i="5"/>
  <c r="J40" i="5" s="1"/>
  <c r="I53" i="5"/>
  <c r="J53" i="5" s="1"/>
  <c r="I56" i="5"/>
  <c r="J56" i="5" s="1"/>
  <c r="I68" i="5"/>
  <c r="J68" i="5" s="1"/>
  <c r="I72" i="5"/>
  <c r="J72" i="5" s="1"/>
  <c r="I82" i="5"/>
  <c r="J82" i="5" s="1"/>
  <c r="I260" i="5"/>
  <c r="J260" i="5" s="1"/>
  <c r="I15" i="5"/>
  <c r="J15" i="5" s="1"/>
  <c r="I48" i="5"/>
  <c r="J48" i="5" s="1"/>
  <c r="I64" i="5"/>
  <c r="J64" i="5" s="1"/>
  <c r="I75" i="5"/>
  <c r="J75" i="5" s="1"/>
  <c r="I88" i="5"/>
  <c r="J88" i="5" s="1"/>
  <c r="I201" i="5"/>
  <c r="J201" i="5" s="1"/>
  <c r="I206" i="5"/>
  <c r="J206" i="5" s="1"/>
  <c r="I240" i="5"/>
  <c r="J240" i="5" s="1"/>
  <c r="I256" i="5"/>
  <c r="J256" i="5" s="1"/>
  <c r="I269" i="5"/>
  <c r="J269" i="5" s="1"/>
  <c r="I270" i="5"/>
  <c r="J270" i="5" s="1"/>
  <c r="I283" i="5"/>
  <c r="J283" i="5" s="1"/>
  <c r="I275" i="5"/>
  <c r="J275" i="5" s="1"/>
  <c r="I287" i="5"/>
  <c r="J287" i="5" s="1"/>
  <c r="I291" i="5"/>
  <c r="J291" i="5" s="1"/>
  <c r="I4" i="5"/>
  <c r="J4" i="5" s="1"/>
  <c r="I29" i="5"/>
  <c r="J29" i="5" s="1"/>
  <c r="I43" i="5"/>
  <c r="J43" i="5" s="1"/>
  <c r="I51" i="5"/>
  <c r="J51" i="5" s="1"/>
  <c r="I116" i="5"/>
  <c r="J116" i="5" s="1"/>
  <c r="I119" i="5"/>
  <c r="J119" i="5" s="1"/>
  <c r="I138" i="5"/>
  <c r="J138" i="5" s="1"/>
  <c r="I140" i="5"/>
  <c r="J140" i="5" s="1"/>
  <c r="I152" i="5"/>
  <c r="J152" i="5" s="1"/>
  <c r="I173" i="5"/>
  <c r="J173" i="5" s="1"/>
  <c r="I177" i="5"/>
  <c r="J177" i="5" s="1"/>
  <c r="I188" i="5"/>
  <c r="J188" i="5" s="1"/>
  <c r="I217" i="5"/>
  <c r="J217" i="5" s="1"/>
  <c r="I257" i="5"/>
  <c r="J257" i="5" s="1"/>
  <c r="I262" i="5"/>
  <c r="J262" i="5" s="1"/>
  <c r="I263" i="5"/>
  <c r="J263" i="5" s="1"/>
  <c r="I264" i="5"/>
  <c r="J264" i="5" s="1"/>
  <c r="I272" i="5"/>
  <c r="J272" i="5" s="1"/>
  <c r="I279" i="5"/>
  <c r="J279" i="5" s="1"/>
  <c r="I281" i="5"/>
  <c r="J281" i="5" s="1"/>
  <c r="I285" i="5"/>
  <c r="J285" i="5" s="1"/>
  <c r="I288" i="5"/>
  <c r="J288" i="5" s="1"/>
  <c r="I276" i="5"/>
  <c r="J276" i="5" s="1"/>
  <c r="I21" i="5"/>
  <c r="J21" i="5" s="1"/>
  <c r="I59" i="5"/>
  <c r="J59" i="5" s="1"/>
  <c r="I67" i="5"/>
  <c r="J67" i="5" s="1"/>
  <c r="I8" i="5"/>
  <c r="J8" i="5" s="1"/>
  <c r="I16" i="5"/>
  <c r="J16" i="5" s="1"/>
  <c r="I19" i="5"/>
  <c r="J19" i="5" s="1"/>
  <c r="I27" i="5"/>
  <c r="J27" i="5" s="1"/>
  <c r="I35" i="5"/>
  <c r="J35" i="5" s="1"/>
  <c r="I41" i="5"/>
  <c r="J41" i="5" s="1"/>
  <c r="I49" i="5"/>
  <c r="J49" i="5" s="1"/>
  <c r="I57" i="5"/>
  <c r="J57" i="5" s="1"/>
  <c r="I65" i="5"/>
  <c r="J65" i="5" s="1"/>
  <c r="I73" i="5"/>
  <c r="J73" i="5" s="1"/>
  <c r="I86" i="5"/>
  <c r="J86" i="5" s="1"/>
  <c r="I98" i="5"/>
  <c r="J98" i="5" s="1"/>
  <c r="I120" i="5"/>
  <c r="J120" i="5" s="1"/>
  <c r="I145" i="5"/>
  <c r="J145" i="5" s="1"/>
  <c r="I148" i="5"/>
  <c r="J148" i="5" s="1"/>
  <c r="I149" i="5"/>
  <c r="J149" i="5" s="1"/>
  <c r="I150" i="5"/>
  <c r="J150" i="5" s="1"/>
  <c r="I159" i="5"/>
  <c r="J159" i="5" s="1"/>
  <c r="I195" i="5"/>
  <c r="J195" i="5" s="1"/>
  <c r="I225" i="5"/>
  <c r="J225" i="5" s="1"/>
  <c r="I228" i="5"/>
  <c r="J228" i="5" s="1"/>
  <c r="I236" i="5"/>
  <c r="J236" i="5" s="1"/>
  <c r="I237" i="5"/>
  <c r="J237" i="5" s="1"/>
  <c r="I250" i="5"/>
  <c r="J250" i="5" s="1"/>
  <c r="I280" i="5"/>
  <c r="J280" i="5" s="1"/>
  <c r="I289" i="5"/>
  <c r="J289" i="5" s="1"/>
  <c r="P101" i="5"/>
  <c r="C101" i="5"/>
  <c r="L101" i="5" s="1"/>
  <c r="I127" i="5"/>
  <c r="J127" i="5" s="1"/>
  <c r="C6" i="5"/>
  <c r="L6" i="5" s="1"/>
  <c r="P6" i="5"/>
  <c r="C109" i="5"/>
  <c r="L109" i="5" s="1"/>
  <c r="P109" i="5"/>
  <c r="N18" i="5"/>
  <c r="C18" i="5"/>
  <c r="L18" i="5" s="1"/>
  <c r="R36" i="5"/>
  <c r="C36" i="5"/>
  <c r="L36" i="5" s="1"/>
  <c r="C77" i="5"/>
  <c r="L77" i="5" s="1"/>
  <c r="P77" i="5"/>
  <c r="C90" i="5"/>
  <c r="L90" i="5" s="1"/>
  <c r="P90" i="5"/>
  <c r="C91" i="5"/>
  <c r="L91" i="5" s="1"/>
  <c r="P91" i="5"/>
  <c r="C92" i="5"/>
  <c r="L92" i="5" s="1"/>
  <c r="P92" i="5"/>
  <c r="C93" i="5"/>
  <c r="L93" i="5" s="1"/>
  <c r="P93" i="5"/>
  <c r="I103" i="5"/>
  <c r="J103" i="5" s="1"/>
  <c r="P114" i="5"/>
  <c r="C114" i="5"/>
  <c r="L114" i="5" s="1"/>
  <c r="P128" i="5"/>
  <c r="C128" i="5"/>
  <c r="L128" i="5" s="1"/>
  <c r="I132" i="5"/>
  <c r="J132" i="5" s="1"/>
  <c r="I135" i="5"/>
  <c r="J135" i="5" s="1"/>
  <c r="I200" i="5"/>
  <c r="J200" i="5" s="1"/>
  <c r="I232" i="5"/>
  <c r="J232" i="5" s="1"/>
  <c r="C33" i="5"/>
  <c r="L33" i="5" s="1"/>
  <c r="I33" i="5" s="1"/>
  <c r="J33" i="5" s="1"/>
  <c r="I105" i="5"/>
  <c r="J105" i="5" s="1"/>
  <c r="C117" i="5"/>
  <c r="L117" i="5" s="1"/>
  <c r="P117" i="5"/>
  <c r="P126" i="5"/>
  <c r="I126" i="5" s="1"/>
  <c r="J126" i="5" s="1"/>
  <c r="I130" i="5"/>
  <c r="J130" i="5" s="1"/>
  <c r="C143" i="5"/>
  <c r="L143" i="5" s="1"/>
  <c r="P143" i="5"/>
  <c r="C155" i="5"/>
  <c r="L155" i="5" s="1"/>
  <c r="P155" i="5"/>
  <c r="I214" i="5"/>
  <c r="J214" i="5" s="1"/>
  <c r="I246" i="5"/>
  <c r="J246" i="5" s="1"/>
  <c r="I194" i="5"/>
  <c r="J194" i="5" s="1"/>
  <c r="I102" i="5"/>
  <c r="J102" i="5" s="1"/>
  <c r="I211" i="5"/>
  <c r="J211" i="5" s="1"/>
  <c r="I215" i="5"/>
  <c r="J215" i="5" s="1"/>
  <c r="I218" i="5"/>
  <c r="J218" i="5" s="1"/>
  <c r="I243" i="5"/>
  <c r="J243" i="5" s="1"/>
  <c r="I245" i="5"/>
  <c r="J245" i="5" s="1"/>
  <c r="C162" i="5"/>
  <c r="L162" i="5" s="1"/>
  <c r="I162" i="5" s="1"/>
  <c r="J162" i="5" s="1"/>
  <c r="C164" i="5"/>
  <c r="L164" i="5" s="1"/>
  <c r="I164" i="5" s="1"/>
  <c r="J164" i="5" s="1"/>
  <c r="P165" i="5"/>
  <c r="I165" i="5" s="1"/>
  <c r="J165" i="5" s="1"/>
  <c r="C168" i="5"/>
  <c r="L168" i="5" s="1"/>
  <c r="I168" i="5" s="1"/>
  <c r="J168" i="5" s="1"/>
  <c r="C170" i="5"/>
  <c r="L170" i="5" s="1"/>
  <c r="I170" i="5" s="1"/>
  <c r="J170" i="5" s="1"/>
  <c r="C171" i="5"/>
  <c r="L171" i="5" s="1"/>
  <c r="P171" i="5"/>
  <c r="C179" i="5"/>
  <c r="L179" i="5" s="1"/>
  <c r="I179" i="5" s="1"/>
  <c r="J179" i="5" s="1"/>
  <c r="C181" i="5"/>
  <c r="L181" i="5" s="1"/>
  <c r="I181" i="5" s="1"/>
  <c r="J181" i="5" s="1"/>
  <c r="P190" i="5"/>
  <c r="C190" i="5"/>
  <c r="L190" i="5" s="1"/>
  <c r="I259" i="5"/>
  <c r="J259" i="5" s="1"/>
  <c r="I282" i="5"/>
  <c r="J282" i="5" s="1"/>
  <c r="I193" i="5"/>
  <c r="J193" i="5" s="1"/>
  <c r="I199" i="5"/>
  <c r="J199" i="5" s="1"/>
  <c r="I202" i="5"/>
  <c r="J202" i="5" s="1"/>
  <c r="I209" i="5"/>
  <c r="J209" i="5" s="1"/>
  <c r="I227" i="5"/>
  <c r="J227" i="5" s="1"/>
  <c r="I231" i="5"/>
  <c r="J231" i="5" s="1"/>
  <c r="I234" i="5"/>
  <c r="J234" i="5" s="1"/>
  <c r="I241" i="5"/>
  <c r="J241" i="5" s="1"/>
  <c r="I266" i="5"/>
  <c r="J266" i="5" s="1"/>
  <c r="I273" i="5"/>
  <c r="J273" i="5" s="1"/>
  <c r="I278" i="5"/>
  <c r="J278" i="5" s="1"/>
  <c r="C189" i="5"/>
  <c r="L189" i="5" s="1"/>
  <c r="I189" i="5" s="1"/>
  <c r="J189" i="5" s="1"/>
  <c r="C196" i="5"/>
  <c r="L196" i="5" s="1"/>
  <c r="I196" i="5" s="1"/>
  <c r="J196" i="5" s="1"/>
  <c r="S74" i="5"/>
  <c r="S197" i="5"/>
  <c r="I17" i="4"/>
  <c r="O17" i="4" s="1"/>
  <c r="I18" i="4"/>
  <c r="O18" i="4" s="1"/>
  <c r="I19" i="4"/>
  <c r="O19" i="4" s="1"/>
  <c r="I20" i="4"/>
  <c r="O20" i="4" s="1"/>
  <c r="I21" i="4"/>
  <c r="O21" i="4" s="1"/>
  <c r="I22" i="4"/>
  <c r="O22" i="4" s="1"/>
  <c r="I23" i="4"/>
  <c r="O23" i="4" s="1"/>
  <c r="I24" i="4"/>
  <c r="O24" i="4" s="1"/>
  <c r="I25" i="4"/>
  <c r="O25" i="4" s="1"/>
  <c r="I26" i="4"/>
  <c r="O26" i="4" s="1"/>
  <c r="I27" i="4"/>
  <c r="O27" i="4" s="1"/>
  <c r="I28" i="4"/>
  <c r="O28" i="4" s="1"/>
  <c r="I29" i="4"/>
  <c r="O29" i="4" s="1"/>
  <c r="S291" i="5" l="1"/>
  <c r="H24" i="4" s="1"/>
  <c r="I114" i="5"/>
  <c r="J114" i="5" s="1"/>
  <c r="I18" i="5"/>
  <c r="J18" i="5" s="1"/>
  <c r="I101" i="5"/>
  <c r="J101" i="5" s="1"/>
  <c r="I128" i="5"/>
  <c r="J128" i="5" s="1"/>
  <c r="I36" i="5"/>
  <c r="J36" i="5" s="1"/>
  <c r="I190" i="5"/>
  <c r="J190" i="5" s="1"/>
  <c r="I93" i="5"/>
  <c r="J93" i="5" s="1"/>
  <c r="I91" i="5"/>
  <c r="J91" i="5" s="1"/>
  <c r="I143" i="5"/>
  <c r="J143" i="5" s="1"/>
  <c r="I77" i="5"/>
  <c r="J77" i="5" s="1"/>
  <c r="I6" i="5"/>
  <c r="J6" i="5" s="1"/>
  <c r="I117" i="5"/>
  <c r="J117" i="5" s="1"/>
  <c r="I92" i="5"/>
  <c r="J92" i="5" s="1"/>
  <c r="I90" i="5"/>
  <c r="J90" i="5" s="1"/>
  <c r="I171" i="5"/>
  <c r="J171" i="5" s="1"/>
  <c r="I155" i="5"/>
  <c r="J155" i="5" s="1"/>
  <c r="I109" i="5"/>
  <c r="J109" i="5" s="1"/>
  <c r="H23" i="4"/>
  <c r="H29" i="4"/>
  <c r="H28" i="4"/>
  <c r="H27" i="4"/>
  <c r="H26" i="4"/>
  <c r="H25" i="4"/>
  <c r="I16" i="4"/>
  <c r="O16" i="4" s="1"/>
  <c r="S223" i="5" l="1"/>
  <c r="S47" i="5"/>
  <c r="S271" i="5"/>
  <c r="S45" i="5"/>
  <c r="S209" i="5"/>
  <c r="S138" i="5"/>
  <c r="S71" i="5"/>
  <c r="S245" i="5"/>
  <c r="S130" i="5"/>
  <c r="S263" i="5"/>
  <c r="S173" i="5"/>
  <c r="S207" i="5"/>
  <c r="S237" i="5"/>
  <c r="S39" i="5"/>
  <c r="S261" i="5"/>
  <c r="S97" i="5"/>
  <c r="S5" i="5"/>
  <c r="S198" i="5"/>
  <c r="S251" i="5"/>
  <c r="S27" i="5"/>
  <c r="S224" i="5"/>
  <c r="S11" i="5"/>
  <c r="S55" i="5"/>
  <c r="S28" i="5"/>
  <c r="S60" i="5"/>
  <c r="S202" i="5"/>
  <c r="S225" i="5"/>
  <c r="S228" i="5"/>
  <c r="S231" i="5"/>
  <c r="S286" i="5"/>
  <c r="S289" i="5"/>
  <c r="S25" i="5"/>
  <c r="S227" i="5"/>
  <c r="S247" i="5"/>
  <c r="S268" i="5"/>
  <c r="S40" i="5"/>
  <c r="S63" i="5"/>
  <c r="S249" i="5"/>
  <c r="S255" i="5"/>
  <c r="S76" i="5"/>
  <c r="S203" i="5"/>
  <c r="S220" i="5"/>
  <c r="S226" i="5"/>
  <c r="S229" i="5"/>
  <c r="S287" i="5"/>
  <c r="S290" i="5"/>
  <c r="S48" i="5"/>
  <c r="S256" i="5"/>
  <c r="S265" i="5"/>
  <c r="S59" i="5"/>
  <c r="S221" i="5"/>
  <c r="S239" i="5"/>
  <c r="S285" i="5"/>
  <c r="S80" i="5" l="1"/>
  <c r="S116" i="5"/>
  <c r="S178" i="5"/>
  <c r="S159" i="5"/>
  <c r="S107" i="5"/>
  <c r="S196" i="5"/>
  <c r="S94" i="5"/>
  <c r="S54" i="5"/>
  <c r="S93" i="5"/>
  <c r="S222" i="5"/>
  <c r="S243" i="5"/>
  <c r="S193" i="5"/>
  <c r="S65" i="5"/>
  <c r="S278" i="5"/>
  <c r="S154" i="5"/>
  <c r="S153" i="5"/>
  <c r="S36" i="5"/>
  <c r="S44" i="5"/>
  <c r="S83" i="5"/>
  <c r="S135" i="5"/>
  <c r="S90" i="5"/>
  <c r="S205" i="5"/>
  <c r="S158" i="5"/>
  <c r="S244" i="5"/>
  <c r="S284" i="5"/>
  <c r="S91" i="5"/>
  <c r="S288" i="5"/>
  <c r="S234" i="5"/>
  <c r="S183" i="5"/>
  <c r="S58" i="5"/>
  <c r="S272" i="5"/>
  <c r="S143" i="5"/>
  <c r="S142" i="5"/>
  <c r="S33" i="5"/>
  <c r="H17" i="4" s="1"/>
  <c r="S41" i="5"/>
  <c r="S273" i="5"/>
  <c r="S72" i="5"/>
  <c r="S132" i="5"/>
  <c r="S277" i="5"/>
  <c r="S161" i="5"/>
  <c r="S61" i="5"/>
  <c r="S125" i="5"/>
  <c r="S160" i="5"/>
  <c r="S16" i="5"/>
  <c r="S6" i="5"/>
  <c r="S208" i="5"/>
  <c r="S252" i="5"/>
  <c r="S176" i="5"/>
  <c r="S283" i="5"/>
  <c r="S233" i="5"/>
  <c r="S172" i="5"/>
  <c r="S57" i="5"/>
  <c r="S267" i="5"/>
  <c r="S137" i="5"/>
  <c r="S134" i="5"/>
  <c r="S175" i="5"/>
  <c r="S30" i="5"/>
  <c r="S38" i="5"/>
  <c r="S232" i="5"/>
  <c r="S12" i="5"/>
  <c r="S51" i="5"/>
  <c r="S213" i="5"/>
  <c r="S199" i="5"/>
  <c r="S95" i="5"/>
  <c r="S155" i="5"/>
  <c r="S282" i="5"/>
  <c r="S219" i="5"/>
  <c r="S171" i="5"/>
  <c r="S50" i="5"/>
  <c r="S254" i="5"/>
  <c r="S106" i="5"/>
  <c r="S133" i="5"/>
  <c r="S168" i="5"/>
  <c r="S29" i="5"/>
  <c r="S166" i="5"/>
  <c r="S37" i="5"/>
  <c r="S31" i="5"/>
  <c r="S19" i="5"/>
  <c r="S152" i="5"/>
  <c r="S210" i="5"/>
  <c r="S257" i="5"/>
  <c r="S56" i="5"/>
  <c r="S66" i="5"/>
  <c r="S281" i="5"/>
  <c r="S218" i="5"/>
  <c r="S129" i="5"/>
  <c r="S49" i="5"/>
  <c r="S242" i="5"/>
  <c r="S105" i="5"/>
  <c r="S109" i="5"/>
  <c r="S24" i="5"/>
  <c r="S32" i="5"/>
  <c r="S238" i="5"/>
  <c r="S190" i="5"/>
  <c r="S165" i="5"/>
  <c r="S79" i="5"/>
  <c r="S204" i="5"/>
  <c r="S194" i="5"/>
  <c r="S77" i="5"/>
  <c r="S191" i="5"/>
  <c r="S179" i="5"/>
  <c r="S279" i="5"/>
  <c r="S270" i="5"/>
  <c r="S217" i="5"/>
  <c r="S42" i="5"/>
  <c r="S241" i="5"/>
  <c r="S104" i="5"/>
  <c r="S103" i="5"/>
  <c r="S18" i="5"/>
  <c r="S43" i="5"/>
  <c r="S141" i="5"/>
  <c r="S126" i="5"/>
  <c r="S87" i="5"/>
  <c r="S235" i="5"/>
  <c r="S52" i="5"/>
  <c r="S274" i="5"/>
  <c r="S264" i="5"/>
  <c r="S216" i="5"/>
  <c r="S115" i="5"/>
  <c r="S34" i="5"/>
  <c r="H19" i="4" s="1"/>
  <c r="S230" i="5"/>
  <c r="S96" i="5"/>
  <c r="S86" i="5"/>
  <c r="S99" i="5"/>
  <c r="S14" i="5"/>
  <c r="S102" i="5"/>
  <c r="S8" i="5"/>
  <c r="S20" i="5"/>
  <c r="S7" i="5"/>
  <c r="S35" i="5"/>
  <c r="H21" i="4" s="1"/>
  <c r="S85" i="5"/>
  <c r="S236" i="5"/>
  <c r="S62" i="5"/>
  <c r="S266" i="5"/>
  <c r="S68" i="5"/>
  <c r="S189" i="5"/>
  <c r="S185" i="5"/>
  <c r="S136" i="5"/>
  <c r="S262" i="5"/>
  <c r="S260" i="5"/>
  <c r="S215" i="5"/>
  <c r="S26" i="5"/>
  <c r="S214" i="5"/>
  <c r="S82" i="5"/>
  <c r="S108" i="5"/>
  <c r="S9" i="5"/>
  <c r="S81" i="5"/>
  <c r="S4" i="5"/>
  <c r="S22" i="5"/>
  <c r="S275" i="5"/>
  <c r="S128" i="5"/>
  <c r="S53" i="5"/>
  <c r="S89" i="5"/>
  <c r="S276" i="5"/>
  <c r="S157" i="5"/>
  <c r="S246" i="5"/>
  <c r="S259" i="5"/>
  <c r="S212" i="5"/>
  <c r="S101" i="5"/>
  <c r="S17" i="5"/>
  <c r="S186" i="5"/>
  <c r="S201" i="5"/>
  <c r="S67" i="5"/>
  <c r="S253" i="5"/>
  <c r="S15" i="5"/>
  <c r="S211" i="5"/>
  <c r="S280" i="5"/>
  <c r="S69" i="5"/>
  <c r="S73" i="5"/>
  <c r="S23" i="5"/>
  <c r="S248" i="5"/>
  <c r="S162" i="5"/>
  <c r="S169" i="5"/>
  <c r="S131" i="5"/>
  <c r="S180" i="5"/>
  <c r="S127" i="5"/>
  <c r="S92" i="5"/>
  <c r="S240" i="5"/>
  <c r="S258" i="5"/>
  <c r="S206" i="5"/>
  <c r="S78" i="5"/>
  <c r="S13" i="5"/>
  <c r="S163" i="5"/>
  <c r="S200" i="5"/>
  <c r="S70" i="5"/>
  <c r="S21" i="5"/>
  <c r="S64" i="5"/>
  <c r="S250" i="5"/>
  <c r="S269" i="5"/>
  <c r="S46" i="5"/>
  <c r="S3" i="5"/>
  <c r="H16" i="4" s="1"/>
  <c r="N16" i="4" s="1"/>
  <c r="L16" i="4" s="1"/>
  <c r="D17" i="4"/>
  <c r="E17" i="4"/>
  <c r="F17" i="4"/>
  <c r="G17" i="4"/>
  <c r="H20" i="4" l="1"/>
  <c r="N20" i="4" s="1"/>
  <c r="L20" i="4" s="1"/>
  <c r="S84" i="5"/>
  <c r="S100" i="5"/>
  <c r="S113" i="5"/>
  <c r="S119" i="5"/>
  <c r="S112" i="5"/>
  <c r="S114" i="5"/>
  <c r="S88" i="5"/>
  <c r="S98" i="5"/>
  <c r="S75" i="5"/>
  <c r="S118" i="5"/>
  <c r="S117" i="5"/>
  <c r="S123" i="5"/>
  <c r="S120" i="5"/>
  <c r="S170" i="5"/>
  <c r="S174" i="5"/>
  <c r="S156" i="5"/>
  <c r="S110" i="5"/>
  <c r="S181" i="5"/>
  <c r="S182" i="5"/>
  <c r="S140" i="5"/>
  <c r="S111" i="5"/>
  <c r="S10" i="5"/>
  <c r="S121" i="5"/>
  <c r="S177" i="5"/>
  <c r="S188" i="5"/>
  <c r="S144" i="5"/>
  <c r="S147" i="5"/>
  <c r="S167" i="5"/>
  <c r="S124" i="5"/>
  <c r="H22" i="4" s="1"/>
  <c r="N22" i="4" s="1"/>
  <c r="L22" i="4" s="1"/>
  <c r="S184" i="5"/>
  <c r="S187" i="5"/>
  <c r="S164" i="5"/>
  <c r="S139" i="5"/>
  <c r="S122" i="5"/>
  <c r="S145" i="5"/>
  <c r="S146" i="5"/>
  <c r="S149" i="5"/>
  <c r="S148" i="5"/>
  <c r="S151" i="5"/>
  <c r="S150" i="5"/>
  <c r="S192" i="5"/>
  <c r="H18" i="4" s="1"/>
  <c r="S195" i="5"/>
  <c r="N28" i="4"/>
  <c r="L28" i="4" s="1"/>
  <c r="N27" i="4"/>
  <c r="L27" i="4" s="1"/>
  <c r="N26" i="4"/>
  <c r="L26" i="4" s="1"/>
  <c r="N25" i="4"/>
  <c r="L25" i="4" s="1"/>
  <c r="N24" i="4"/>
  <c r="L24" i="4" s="1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N29" i="4"/>
  <c r="L29" i="4" s="1"/>
  <c r="N21" i="4"/>
  <c r="L21" i="4" s="1"/>
  <c r="N19" i="4"/>
  <c r="L19" i="4" s="1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P25" i="4" l="1"/>
  <c r="P24" i="4"/>
  <c r="P26" i="4"/>
  <c r="P27" i="4"/>
  <c r="P28" i="4"/>
  <c r="P20" i="4"/>
  <c r="P21" i="4"/>
  <c r="P22" i="4"/>
  <c r="P19" i="4"/>
  <c r="N23" i="4"/>
  <c r="L23" i="4" s="1"/>
  <c r="N18" i="4"/>
  <c r="L18" i="4" s="1"/>
  <c r="D18" i="4"/>
  <c r="E18" i="4"/>
  <c r="F18" i="4"/>
  <c r="G18" i="4"/>
  <c r="P23" i="4" l="1"/>
  <c r="N17" i="4"/>
  <c r="L17" i="4" s="1"/>
  <c r="P17" i="4" l="1"/>
  <c r="P31" i="4"/>
  <c r="D16" i="4"/>
  <c r="E16" i="4"/>
  <c r="F16" i="4"/>
  <c r="G16" i="4"/>
  <c r="G29" i="4" l="1"/>
  <c r="F29" i="4"/>
  <c r="E29" i="4"/>
  <c r="P18" i="4" l="1"/>
  <c r="P30" i="4" l="1"/>
  <c r="P32" i="4" l="1"/>
  <c r="F41" i="4" l="1"/>
  <c r="P16" i="4"/>
  <c r="K41" i="4" l="1"/>
  <c r="M41" i="4" s="1"/>
  <c r="P33" i="4"/>
  <c r="F40" i="4"/>
  <c r="K40" i="4" s="1"/>
  <c r="M40" i="4" s="1"/>
  <c r="P29" i="4" l="1"/>
  <c r="P34" i="4"/>
  <c r="F39" i="4"/>
  <c r="F43" i="4" s="1"/>
  <c r="F45" i="4" l="1"/>
  <c r="F44" i="4"/>
  <c r="K39" i="4"/>
  <c r="K42" i="4" l="1"/>
  <c r="M42" i="4" s="1"/>
  <c r="M39" i="4"/>
  <c r="F46" i="4" l="1"/>
  <c r="K46" i="4" l="1"/>
  <c r="M46" i="4"/>
</calcChain>
</file>

<file path=xl/sharedStrings.xml><?xml version="1.0" encoding="utf-8"?>
<sst xmlns="http://schemas.openxmlformats.org/spreadsheetml/2006/main" count="408" uniqueCount="370">
  <si>
    <t>Вид работ</t>
  </si>
  <si>
    <t>ПИР</t>
  </si>
  <si>
    <t>СМР</t>
  </si>
  <si>
    <t>Оборудование</t>
  </si>
  <si>
    <t>Прочие, в том числе:</t>
  </si>
  <si>
    <t xml:space="preserve">Идентификатор инвестиционного проекта: </t>
  </si>
  <si>
    <t>№ п/п</t>
  </si>
  <si>
    <t>Ед. измер.</t>
  </si>
  <si>
    <t>Год ввода в эксплуатацию</t>
  </si>
  <si>
    <t>Наименование вида затрат / типового технического решения</t>
  </si>
  <si>
    <t>1.</t>
  </si>
  <si>
    <t>Прямые затраты</t>
  </si>
  <si>
    <t>ВСЕГО</t>
  </si>
  <si>
    <t>Примечание: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</si>
  <si>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</si>
  <si>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</si>
  <si>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</si>
  <si>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</si>
  <si>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</si>
  <si>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</si>
  <si>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</si>
  <si>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</si>
  <si>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</si>
  <si>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</si>
  <si>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</si>
  <si>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</si>
  <si>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</si>
  <si>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Реконструкция 1 км ВЛ-0,4 кВ (СИП-2 3*16+1*25)</t>
  </si>
  <si>
    <t>Реконструкция 1 км ВЛ-0,4 кВ (СИП-2 3*70+1*95+1*25)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</si>
  <si>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</si>
  <si>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</si>
  <si>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</si>
  <si>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</si>
  <si>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</si>
  <si>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</si>
  <si>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</si>
  <si>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</si>
  <si>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</si>
  <si>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</si>
  <si>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</si>
  <si>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</si>
  <si>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</si>
  <si>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</si>
  <si>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</si>
  <si>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</si>
  <si>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</si>
  <si>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</si>
  <si>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</si>
  <si>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</si>
  <si>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</si>
  <si>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</si>
  <si>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</si>
  <si>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</si>
  <si>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</si>
  <si>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</si>
  <si>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деревянные опоры</t>
  </si>
  <si>
    <t>Замена опоры СВ-95</t>
  </si>
  <si>
    <t>Монтаж мульти-виски</t>
  </si>
  <si>
    <t>Разъединитель РЛК</t>
  </si>
  <si>
    <t>Разъединитель РЛНД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</si>
  <si>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</si>
  <si>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</si>
  <si>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</si>
  <si>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</si>
  <si>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</si>
  <si>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</si>
  <si>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КЛ-10 (АСБ 3Х120 ММ2 )</t>
  </si>
  <si>
    <t>Строительство КЛ-10 кВ АПвПу2г 3х120/35 мм2</t>
  </si>
  <si>
    <t>Строительство КЛ-10 кВ АПвПу2г 3х240/70 мм2 два кабеля</t>
  </si>
  <si>
    <t>Строительство КЛ-10 кВ АПвПу2г 1х120/70 мм2 два кабеля</t>
  </si>
  <si>
    <t>Дренажная система</t>
  </si>
  <si>
    <t>Строительство БКТП 2*1000</t>
  </si>
  <si>
    <t>Строительство БКТП 2*1600</t>
  </si>
  <si>
    <t>Строительство СТП 40</t>
  </si>
  <si>
    <t>2022 г.</t>
  </si>
  <si>
    <t>2023 г.</t>
  </si>
  <si>
    <t>2024 г.</t>
  </si>
  <si>
    <t>2025 г.</t>
  </si>
  <si>
    <t>4.1</t>
  </si>
  <si>
    <t>4.2</t>
  </si>
  <si>
    <t>4.3</t>
  </si>
  <si>
    <t>ВСЕГО:</t>
  </si>
  <si>
    <t>ОЗП (без НДС) (база)</t>
  </si>
  <si>
    <t>ЭМ (без НДС) (база)</t>
  </si>
  <si>
    <t xml:space="preserve">М (без НДС) (база) </t>
  </si>
  <si>
    <t>Оборудование (без НДС) (база)</t>
  </si>
  <si>
    <t>стоимость без НДС (база)</t>
  </si>
  <si>
    <t>стоимость с  НДС (база)</t>
  </si>
  <si>
    <t>стоимость без НДС (текущая)</t>
  </si>
  <si>
    <t>коэф.ОЗП</t>
  </si>
  <si>
    <t>ОЗП (без НДС) (текущая)</t>
  </si>
  <si>
    <t>коэф.ЭМ</t>
  </si>
  <si>
    <t>ЭМ (без НДС) (текущая)</t>
  </si>
  <si>
    <t>коэф.М</t>
  </si>
  <si>
    <t>М (без НДС) (текущая)</t>
  </si>
  <si>
    <t>коэф. оборудование</t>
  </si>
  <si>
    <t>Оборудование (без НДС) (текущая)</t>
  </si>
  <si>
    <t>Строительство СТП-25</t>
  </si>
  <si>
    <t xml:space="preserve">Строительство СТП 63   </t>
  </si>
  <si>
    <t xml:space="preserve">Строительство СТП 100 </t>
  </si>
  <si>
    <t>Ограждение СТП, МТП</t>
  </si>
  <si>
    <t xml:space="preserve">Строительство МТП 100 </t>
  </si>
  <si>
    <t xml:space="preserve">Строительство МТП 160 </t>
  </si>
  <si>
    <t xml:space="preserve">Строительство МТП 250 </t>
  </si>
  <si>
    <t>Строительство КТП 160</t>
  </si>
  <si>
    <t xml:space="preserve">Строительство КТП П 250  </t>
  </si>
  <si>
    <t xml:space="preserve">Строительство КТПТ 400  </t>
  </si>
  <si>
    <t>Строительство КТП 630</t>
  </si>
  <si>
    <t xml:space="preserve">Строительство КТП П к/к 1000 </t>
  </si>
  <si>
    <t xml:space="preserve">Строительство КТП вв 2*250  </t>
  </si>
  <si>
    <t>Строительство КТП  2* 400</t>
  </si>
  <si>
    <t>Строительство КТПТ 2*630</t>
  </si>
  <si>
    <t xml:space="preserve">Строительство  КТПТ  2*1000 </t>
  </si>
  <si>
    <t xml:space="preserve">Строительство сэндвич-панельной КТПТ  2*1000 </t>
  </si>
  <si>
    <t xml:space="preserve">Строительство БКТП 1*250 </t>
  </si>
  <si>
    <t xml:space="preserve">Строительство БКТП 1*400 </t>
  </si>
  <si>
    <t xml:space="preserve">Строительство БКТП 1*630 </t>
  </si>
  <si>
    <t xml:space="preserve">Строительство БКТП 1*1000 </t>
  </si>
  <si>
    <t>Строительство  БКТП 1*1250</t>
  </si>
  <si>
    <t>Строительство  БКТП 1*1600</t>
  </si>
  <si>
    <t xml:space="preserve"> Строительство БКТП 2*250 </t>
  </si>
  <si>
    <t xml:space="preserve">Строительство БКТП 2*400 </t>
  </si>
  <si>
    <t xml:space="preserve">Строительство БКТП 2*630 </t>
  </si>
  <si>
    <t xml:space="preserve">Строительство БКТП 2*1250 </t>
  </si>
  <si>
    <t>Строительство РП 16 ячеек</t>
  </si>
  <si>
    <t>Строительство  РП 24 ячейки</t>
  </si>
  <si>
    <t>Строительство РТП 24 ячейки 4 ТМГ 1600</t>
  </si>
  <si>
    <t xml:space="preserve"> Строительство РТП 16 ячеек 2 ТМГ 1600 </t>
  </si>
  <si>
    <t xml:space="preserve">Строительство РТП 10 ячеек 2 ТМГ 1250 </t>
  </si>
  <si>
    <t>Строительство  реклоузера с ПКУ</t>
  </si>
  <si>
    <t xml:space="preserve"> Строительство   ПКУ </t>
  </si>
  <si>
    <t>Строительство  реклоузера.</t>
  </si>
  <si>
    <t xml:space="preserve">Установка КД-209 на 5групп </t>
  </si>
  <si>
    <t xml:space="preserve"> Установка КД-209 на 12групп </t>
  </si>
  <si>
    <t xml:space="preserve">Установка КД-211 </t>
  </si>
  <si>
    <t xml:space="preserve"> Реконструкция ТП замена трансформаторов  2*1600 </t>
  </si>
  <si>
    <t xml:space="preserve">Реконструкция ТП замена трансформаторов 2*1000 </t>
  </si>
  <si>
    <t>Реконструкция ТП замена трансформаторов 2*630</t>
  </si>
  <si>
    <t>Реконструкция ТП замена трансформаторов 2*400</t>
  </si>
  <si>
    <t xml:space="preserve">Реконструкция ТП замена трансформаторов 2*250  </t>
  </si>
  <si>
    <t xml:space="preserve">Реконструкция ТП замена трансформаторов 2*160  </t>
  </si>
  <si>
    <t xml:space="preserve">Реконструкция ТП замена трансформаторов 2*100 </t>
  </si>
  <si>
    <t xml:space="preserve"> Реконструкция ТП замена трансформатора 1*1000 </t>
  </si>
  <si>
    <t xml:space="preserve"> Реконструкция ТП замена трансформатора  1*630 </t>
  </si>
  <si>
    <t xml:space="preserve"> Реконструкция ТП замена трансформатора 1*400</t>
  </si>
  <si>
    <t xml:space="preserve">Реконструкция ТП замена трансформатора 1*250 </t>
  </si>
  <si>
    <t xml:space="preserve">Реконструкция ТП замена трансформатора 1*160 </t>
  </si>
  <si>
    <t xml:space="preserve">Реконструкция ТП замена трансформатора 1*100  </t>
  </si>
  <si>
    <t xml:space="preserve">Реконструкция ТП замена  ячейки 0,4 кВ </t>
  </si>
  <si>
    <t xml:space="preserve">Реконструкция ТП установка новой  ЩО-70 </t>
  </si>
  <si>
    <t xml:space="preserve">Реконструкция ТП. Монтаж  ячейки 10 кВ с выкл. нагрузки </t>
  </si>
  <si>
    <t xml:space="preserve">Реконструкция ТП. Замена  ячейки 10 кВ с выкл. нагрузки </t>
  </si>
  <si>
    <t xml:space="preserve">Реконструкция ТП  Монтаж  ячейки 10 кВ с вакуумным выключателем </t>
  </si>
  <si>
    <t>Реконструкция ТП  Замена  ячейки 10 кВ с вакуумным выключателем</t>
  </si>
  <si>
    <t>Реконструкция ТП. Замена  автомата АВ 200 А.</t>
  </si>
  <si>
    <t>Строительство КРУН-10 кВ в ж/б оболочке 6 ячеек(4 отходящие-с вакуумными выкл., 2 вводные - с выкл.нагрузки)</t>
  </si>
  <si>
    <t xml:space="preserve">Реконструкция  КРУН-10 кВ  КСО210 сх.11 - ОЛВыключатель вакуумный BB-TEL-10-20/1000 - 1 шт. -) </t>
  </si>
  <si>
    <t>временная Строительство КТП П  -250/10/0,4 кВ  с арендой оборудования</t>
  </si>
  <si>
    <t>временная Строительство КТП П  -250/10/0,4 кВ  без стоимости оборудования</t>
  </si>
  <si>
    <t>Строительство КЛ-0,4 (АВБбШв 4*50 ММ2  )</t>
  </si>
  <si>
    <t>Строительство КЛ-0,4 (АВБбШв 4*95 ММ2  )</t>
  </si>
  <si>
    <t>Строительство КЛ-0,4 (АВБбШв 4*120 ММ2  )</t>
  </si>
  <si>
    <t>Строительство КЛ-0,4 (АВБбШв 4*150 ММ2  )</t>
  </si>
  <si>
    <t>Строительство КЛ-0,4 (АВБбШв 4*185 ММ2)</t>
  </si>
  <si>
    <t xml:space="preserve">Строительство КЛ-0,4 два кабеля в траншее (АВБбШв 4*95 ММ2 ) </t>
  </si>
  <si>
    <t xml:space="preserve">Строительство КЛ-0,4 два кабеля в траншее (АВБбШв 4*120 ММ2 ) </t>
  </si>
  <si>
    <t xml:space="preserve">Строительство КЛ-0,4 два кабеля в траншее (АВБбШв 4*185 ММ2 ) </t>
  </si>
  <si>
    <t>Строительство КЛ-0,4 (АСБ 4*35 ММ2  )</t>
  </si>
  <si>
    <t>Строительство КЛ-0,4 (АСБ 4*70 ММ2  )</t>
  </si>
  <si>
    <t>Строительство КЛ-0,4 (АСБ 4*95 ММ2  )</t>
  </si>
  <si>
    <t>Строительство КЛ-0,4 (АСБ 4*120 ММ2  )</t>
  </si>
  <si>
    <t>Строительство КЛ-0,4 (АСБ 4*150 ММ2  )</t>
  </si>
  <si>
    <t>Строительство КЛ-0,4 (АСБ 4*185 ММ2  )</t>
  </si>
  <si>
    <t>Строительство КЛ-0,4 (АСБ 4*240 ММ2  )</t>
  </si>
  <si>
    <t xml:space="preserve">Строительство КЛ-0,4 два кабеля в траншее (АСБ 4*95 ММ2 ) </t>
  </si>
  <si>
    <t xml:space="preserve">Строительство КЛ-0,4 два кабеля в траншее (АСБ 4*120 ММ2 ) </t>
  </si>
  <si>
    <t xml:space="preserve">Строительство КЛ-0,4 два кабеля в траншее (АСБ 4*240 ММ2 ) </t>
  </si>
  <si>
    <t xml:space="preserve"> Строительство КЛ-0,4  (АПВБбШп 4х35-1кВ) </t>
  </si>
  <si>
    <t xml:space="preserve"> Строительство КЛ-0,4  (АПВБбШп 4х50-1кВ) </t>
  </si>
  <si>
    <t xml:space="preserve"> Строительство КЛ-0,4  (АПВБбШп 4х70-1кВ) </t>
  </si>
  <si>
    <t xml:space="preserve"> Строительство КЛ-0,4  (АПВБбШп 4х95-1кВ) </t>
  </si>
  <si>
    <t xml:space="preserve"> Строительство КЛ-0,4  (АПВБбШп 4х120-1кВ) </t>
  </si>
  <si>
    <t xml:space="preserve"> Строительство КЛ-0,4  (АПВБбШп 4х150-1кВ) </t>
  </si>
  <si>
    <t xml:space="preserve"> Строительство КЛ-0,4  (АПВБбШп 4х185-1кВ) </t>
  </si>
  <si>
    <t xml:space="preserve"> Строительство КЛ-0,4  (АПВБбШп 4х240-1кВ) </t>
  </si>
  <si>
    <t xml:space="preserve">Строительство КЛ-0,4 два кабеля в траншее (АПВБбШп 4х240-1кВ) </t>
  </si>
  <si>
    <t>Строительство КЛ-10 (АСБ 3Х95 ММ2 )</t>
  </si>
  <si>
    <t>Строительство КЛ-10 (АСБ 3Х150 ММ2 )</t>
  </si>
  <si>
    <t>Строительство КЛ-10 (АСБ 3Х185 ММ2 )</t>
  </si>
  <si>
    <t>Строительство КЛ-10 (АСБ 3Х240 ММ2 )</t>
  </si>
  <si>
    <t>Строительство КЛ-10 (АСБ 3Х95 ММ2 ) два кабеля</t>
  </si>
  <si>
    <t>Строительство КЛ-10 (АСБ 3Х120 ММ2 ) два кабеля</t>
  </si>
  <si>
    <t>Строительство КЛ-10 (АСБ 3Х150 ММ2 ) два кабеля</t>
  </si>
  <si>
    <t>Строительство КЛ-10 (АСБ 3Х185 ММ2 ) два кабеля</t>
  </si>
  <si>
    <t>Строительство КЛ-10 (АСБ 3Х240 ММ2 ) два кабеля</t>
  </si>
  <si>
    <t xml:space="preserve">Строительство КЛ-10 кВ АПвПу2г 1х120/50 мм2 </t>
  </si>
  <si>
    <t xml:space="preserve">Строительство КЛ-10 кВ АПвПу2г 1х240/50 мм2 </t>
  </si>
  <si>
    <t xml:space="preserve">Строительство КЛ-10 кВ АПвПу2г 1х300/50 мм2 </t>
  </si>
  <si>
    <t xml:space="preserve">Строительство КЛ-10 кВ АПвПу2г 1х400/50 мм2 </t>
  </si>
  <si>
    <t xml:space="preserve">Строительство КЛ-10 кВ АПвПу2г 1х630/50 мм2 </t>
  </si>
  <si>
    <t>Строительство КЛ-10 кВ АПвПу2г 1х300/70 мм2 два кабеля</t>
  </si>
  <si>
    <t>Строительство КЛ-10 кВ АПвПу2г 1х630/70 мм2 два кабеля</t>
  </si>
  <si>
    <t xml:space="preserve"> Строительство КЛ-10 Кв АПвПг 1х240/70 мм2 четыре кабеля</t>
  </si>
  <si>
    <t>Строительство КЛ-10 кВ АПвПу2г 1х400/70 мм2 четыре кабеля</t>
  </si>
  <si>
    <t>Строительство КЛ-10 кВ АПвПу2г 1х630/70 мм2 четыре кабеля</t>
  </si>
  <si>
    <t>ГНБ 1 км 1 труба 160 мм кабель АСБ 3*240</t>
  </si>
  <si>
    <t>ГНБ 1 км 2 трубы 160 мм (одна-резерв) кабель АСБ 3*150</t>
  </si>
  <si>
    <t>ГНБ 1 км 2 трубы 110 мм.(одна-резерв) кабель АПвБбШп 4*50</t>
  </si>
  <si>
    <t xml:space="preserve"> ГНБ 1 км 2 трубы 160 мм (одна-резерв) кабель АПвБШп 4*120</t>
  </si>
  <si>
    <t>ГНБ 1 км 2 трубы 225 мм (одна-резерв) кабель АПвПу2г 1*630/70</t>
  </si>
  <si>
    <t>ГНБ 1 км 2 трубы 160 мм (одна-резерв) без  кабеля</t>
  </si>
  <si>
    <t xml:space="preserve"> ГНБ 1 км 3 трубы 160 мм (одна-резерв) кабель АСБ 3*120</t>
  </si>
  <si>
    <t>ГНБ 1 км 3 трубы 160 мм (одна-резерв) кабель АСБ 3*150</t>
  </si>
  <si>
    <t>ГНБ 1 км 3 трубы 160 мм (одна-резерв) кабель АСБ 3*240</t>
  </si>
  <si>
    <t xml:space="preserve">ГНБ 1 км 3 трубы 160 мм (одна-резерв) кабель АПвПу2r 1*240/70 </t>
  </si>
  <si>
    <t xml:space="preserve">ГНБ 1 км 4 трубы 225 мм (две-резерв) кабель АПвПу2г 1*630/50 </t>
  </si>
  <si>
    <t xml:space="preserve">ГНБ 1 км 3 трубы 225 мм (две-резерв) кабель АПвПу2г 1*630/50 </t>
  </si>
  <si>
    <t>ГНБ 1 км 2 трубы 160 мм (одна-резерв) кабель АСБ 3*240</t>
  </si>
  <si>
    <t xml:space="preserve">ГНБ 1 км 3 трубы 160 мм (одна-резерв) кабель АПвПу2r 1*120/70 </t>
  </si>
  <si>
    <t>Строительство КЛ-0,4 (АВБбШв 4*240ММ2  )</t>
  </si>
  <si>
    <t>Строительство КЛ-0,4 два кабеля в траншее (АВБбШв 4*95 ММ2 ) с перегородкой из кирпича</t>
  </si>
  <si>
    <t xml:space="preserve">Строительство КЛ-0,4 два кабеля в траншее (АСБ 4*70ММ2 ) </t>
  </si>
  <si>
    <t>Строительство КЛ-10 (АСБ 3Х70 ММ2 )</t>
  </si>
  <si>
    <t xml:space="preserve">Реконструкция КЛ-0,4  (АПВБбШп 4х50-1кВ) </t>
  </si>
  <si>
    <t xml:space="preserve">Реконструкция КЛ-0,4  (АПВБбШп 4х70-1кВ) </t>
  </si>
  <si>
    <t xml:space="preserve">Реконструкция КЛ-0,4  (АПВБбШп 4х95-1кВ) </t>
  </si>
  <si>
    <t xml:space="preserve">Реконструкция КЛ-0,4  (АПВБбШп 4х120-1кВ) </t>
  </si>
  <si>
    <t xml:space="preserve">Реконструкция КЛ-0,4  (АПВБбШп 4х150-1кВ) </t>
  </si>
  <si>
    <t xml:space="preserve">Реконструкция КЛ-0,4  (АПВБбШп 4х185-1кВ) </t>
  </si>
  <si>
    <t xml:space="preserve">Реконструкция КЛ-0,4  (АПВБбШп 4х240-1кВ) </t>
  </si>
  <si>
    <t xml:space="preserve">Реконструкция КЛ-0,4 два кабеля в траншее (АПВБбШп 4х70-1кВ) </t>
  </si>
  <si>
    <t xml:space="preserve">Реконструкция КЛ-0,4 два кабеля в траншее (АПВБбШп 4х95-1кВ) </t>
  </si>
  <si>
    <t xml:space="preserve">Реконструкция КЛ-0,4 два кабеля в траншее (АПВБбШп 4х120-1кВ) </t>
  </si>
  <si>
    <t xml:space="preserve">Реконструкция КЛ-0,4 два кабеля в траншее (АПВБбШп 4х150-1кВ) </t>
  </si>
  <si>
    <t xml:space="preserve">Реконструкция КЛ-0,4 два кабеля в траншее (АПВБбШп 4х185-1кВ) </t>
  </si>
  <si>
    <t xml:space="preserve">Реконструкция КЛ-0,4 два кабеля в траншее (АПВБбШп 4х240-1кВ) </t>
  </si>
  <si>
    <t xml:space="preserve">Строительство 100 м КЛ-0,4 (АВБбШв 4*120 ММ2 ) </t>
  </si>
  <si>
    <t xml:space="preserve">Строительство 100 м КЛ-0,4 (АВБбШв 4*240 ММ2 ) </t>
  </si>
  <si>
    <t xml:space="preserve">Строительство 100 м КЛ-0,4  (АПВБбШп 4х120-1кВ) </t>
  </si>
  <si>
    <t xml:space="preserve">Строительство 100 м КЛ-0,4  (АПВБбШп 4х240-1кВ) </t>
  </si>
  <si>
    <t xml:space="preserve">Строительство 100 м КЛ-0,4 два кабеля в траншее (АВБШв 4*120 ММ2 ) </t>
  </si>
  <si>
    <t xml:space="preserve">Строительство 100 м КЛ-0,4 два кабеля в траншее (АВБШв 4*240 ММ2 ) </t>
  </si>
  <si>
    <t xml:space="preserve"> Строительство 100 мКЛ-0,4 два кабеля в траншее (АПВБбШп 4х120-1кВ) </t>
  </si>
  <si>
    <t xml:space="preserve"> Строительство 100 мКЛ-0,4 два кабеля в траншее (АПВБбШп 4х240-1кВ) </t>
  </si>
  <si>
    <t>Строительство 100 м КЛ-10 (АСБ 3Х120 ММ2 )</t>
  </si>
  <si>
    <t>Строительство 100 м КЛ-10 (АСБ 3Х240 ММ2 )</t>
  </si>
  <si>
    <t>Строительство 100 м КЛ-10 (АСБ 3Х120 ММ2 ) два кабеля</t>
  </si>
  <si>
    <t>Строительство 100 м КЛ-10 (АСБ 3Х240 ММ2 ) два кабеля</t>
  </si>
  <si>
    <t>Восстановление асфальтового покрова 30 м2</t>
  </si>
  <si>
    <t>Восстановление растительного покрова 1000 м2</t>
  </si>
  <si>
    <t xml:space="preserve">Строительство 100 м КЛ-10 кВ АПвПу2г 1х120/50 мм2 </t>
  </si>
  <si>
    <t xml:space="preserve">Строительство 100 м КЛ-10 кВ АПвПу2г 1х240/70 мм2 </t>
  </si>
  <si>
    <t xml:space="preserve">Строительство 100 м КЛ-10 кВ АПвПу2г 1х300/70 мм2 </t>
  </si>
  <si>
    <t xml:space="preserve">Строительство 100 м КЛ-10 кВ АПвПу2г 1х400/70 мм2 </t>
  </si>
  <si>
    <t xml:space="preserve">Строительство 100 м КЛ-10 кВ АПвПу2г 1х630/70 мм2 </t>
  </si>
  <si>
    <t>Строительство 100 м КЛ-10 кВ АПвПу2г 1х240/70 мм2 два кабеля</t>
  </si>
  <si>
    <t>Строительство 100 м КЛ-10 кВ АПвПу2г 1х300/70 мм2 два кабеля</t>
  </si>
  <si>
    <t>Строительство 100 м КЛ-10 кВ АПвПу2г 1х400/70 мм2 два кабеля</t>
  </si>
  <si>
    <t>Строительство 100 м КЛ-10 кВ АПвПу2г 1х630/70 мм2 два кабеля</t>
  </si>
  <si>
    <t>Строительство 100 м КЛ-10 кВ АПвПу2г 1х800/70 мм2 два кабеля</t>
  </si>
  <si>
    <t xml:space="preserve"> Строительство 100 м КЛ-10 кВ АПвПу2г 1х240/70 мм2 4 кабеля</t>
  </si>
  <si>
    <t xml:space="preserve"> Строительство 100 м КЛ-10 кВ АПвПу2г 1х300/70 мм2 4 кабеля</t>
  </si>
  <si>
    <t xml:space="preserve"> Строительство КЛ-10 кВ АПвПу2г 1х150/70 мм2</t>
  </si>
  <si>
    <t xml:space="preserve"> Строительство КЛ-0,4 два кабеля в траншее (АВБбШв 4*150 ММ2 ) </t>
  </si>
  <si>
    <t xml:space="preserve">Строительство КЛ-0,4 два кабеля в траншее (АСБ 4*50 ММ2 ) </t>
  </si>
  <si>
    <t xml:space="preserve"> Строительство КЛ-0,4 четыре кабеля в траншее (АПВБШп 4х240-1кВ) </t>
  </si>
  <si>
    <t>Строительство КЛ-10 кВ АПвПу2г 1х240/70 мм2 два кабеля</t>
  </si>
  <si>
    <t xml:space="preserve"> ГНБ 1 км 3 трубы 160 мм (одна-резерв) без кабеля</t>
  </si>
  <si>
    <t>Водоотлив из траншеи(1 м3)</t>
  </si>
  <si>
    <t xml:space="preserve">Строительство КЛ-0,4 два кабеля в траншее (АСБ 4*35 ММ2 ) </t>
  </si>
  <si>
    <t xml:space="preserve"> Строительство КЛ-10 кВ АПвПу2г 3х240/70 мм2 </t>
  </si>
  <si>
    <t>Строительство 1 км ВЛ-10 кВ(СИП-3 1*120)</t>
  </si>
  <si>
    <t>Строительство 100 метров ВЛ-10 кВ (СИП-3 1*95)</t>
  </si>
  <si>
    <t>Строительство 100 метров ВЛ-10 кВ (СИП-3 1*120)</t>
  </si>
  <si>
    <t>Строительство 100 метров ВЛ-10 кВ (СИП-3 1*70) с деревянными опорами.</t>
  </si>
  <si>
    <t>Строительство 1 км совместной подвески ВЛ-10 кВ и ВЛИ-0,4 кВ (СИП-3 1*70, СИП-2 3*50+1*70+1*16)</t>
  </si>
  <si>
    <t>Строительство 1 км совместной подвески ВЛ-10 кВ и ВЛИ-0,4 кВ (СИП-3 1*95, СИП-2 3*95+1*95+1*16)</t>
  </si>
  <si>
    <t>Строительство 1 км совместной подвески ВЛ-10 кВ и ВЛИ-0,4 кВ (СИП-3 1*120, СИП-2 3*95+1*95+1*16)</t>
  </si>
  <si>
    <t>Реконструкция 1 км ВЛ-10 кВ(СИП-3 1*50) с установкой дерев.опор</t>
  </si>
  <si>
    <t>Строительство 1 км ВЛ-0,4 кВ (СИП-2 3*95+1*95+1*25) (с щитами учета на вводах)</t>
  </si>
  <si>
    <t>Строительство  1 км ВЛ-0,4 (подвеска провода ) СИП 2 3*95+1*95+1*16 ММ2</t>
  </si>
  <si>
    <t>Строительство 1 км ВЛ-0,4 (подвеска провода ) сип 3*50+1*70</t>
  </si>
  <si>
    <t>Реконструкция 1 км ВЛ-0,4 кВ (СИП-2 3*95+1*95+1*25)</t>
  </si>
  <si>
    <t>Реконструкция 1 км ВЛ-10 кВ (замена 1 опоры и 1 пролета 50 м.п. СИП-3 1*95)</t>
  </si>
  <si>
    <t>Реконструкция 1 км ВЛ-10 (замена провода ) совместный подвес СИП3 1*95</t>
  </si>
  <si>
    <t>Реконструкция 1 км ВЛ-10 (замена провода ) СИП-3 1*95</t>
  </si>
  <si>
    <t>Реконструкция 1 км ВЛ-10 (подвеска провода ) СИП 3 1*95</t>
  </si>
  <si>
    <t>Устройство ответвлений (СИП 4Х16)</t>
  </si>
  <si>
    <t>Устройство ответвлений (СИП 2Х16)</t>
  </si>
  <si>
    <t>Устройство ответвлений (СИП 4х25)</t>
  </si>
  <si>
    <t>Строительство 1 км ВЛ-0,4 кВ (СИП-2 3*120+1*95)</t>
  </si>
  <si>
    <t>Реконструкция 1 км совместной подвески ВЛ-10 кВ и ВЛИ-0,4 кВ (СИП-3 1*95, СИП-2 3*95+1*95+1*16) с освещением и полной заменой опор</t>
  </si>
  <si>
    <t>Реконструкция 1 км ВЛ-0,4 (замена провода ) сип 3*50+1*50</t>
  </si>
  <si>
    <t>Реконструкция 1 км ВЛ-0,4 (замена провода ) сип 3*35+1*50+1*16</t>
  </si>
  <si>
    <t>Реконструкция 1 км ВЛ-0,4 (замена провода ) сип 3*50+1*70+1*16</t>
  </si>
  <si>
    <t>Строительство 1 км ВЛ-0,4 (подвеска провода ) сип 4 4*25</t>
  </si>
  <si>
    <t>Строительство 1 км (двуцепка)  2 ВЛ-10 кВ(СИП-3 1*95)</t>
  </si>
  <si>
    <t xml:space="preserve"> Строительство 1 км (двуцепка) 2ВЛ-0,4 кВ (СИП-2 3*120+1*95) дерев. опоры</t>
  </si>
  <si>
    <t>Строительство 100м ВЛ-0,4 кВ (СИП-2 3*95+1*95+1*25) (с щитами учета на вводах)</t>
  </si>
  <si>
    <t>Строительство 100м ВЛ-0,4 кВ (СИП-2 3*120+1*95+1*25)</t>
  </si>
  <si>
    <t>Строительство 100м. (двуцепка) 2ВЛ-0,4 кВ (СИП-2 3*95+1*95+1*25)</t>
  </si>
  <si>
    <t>Строительство 100м (двуцепка)  2 ВЛ-10 кВ(СИП-3 1*95)</t>
  </si>
  <si>
    <t>Реконструкция 100м. ВЛ-10 сип 3 1*95</t>
  </si>
  <si>
    <t>Реконструкция 100м. ВЛ-10  сип 3 1*120</t>
  </si>
  <si>
    <t>Реконструкция 100м. ВЛ-10 кВ(СИП-3 1*50) с установкой дерев.опор</t>
  </si>
  <si>
    <t>Реконструкция 100м. ВЛ-10 (замена провода ) СИП-3 1*95</t>
  </si>
  <si>
    <t>Реконструкция 100м. совместной подвески ВЛ-10 кВ и ВЛИ-0,4 кВ (СИП-3 1*95, СИП-2 3*95+1*95+1*16) с освещением и полной заменой опор</t>
  </si>
  <si>
    <t xml:space="preserve"> Реконструкция 100м. ВЛ-0,4 кВ (СИП-2 3*50+1*50+1*16)</t>
  </si>
  <si>
    <t>Реконструкция 100м. ВЛ-0,4 кВ (СИП-2 3*70+1*70+1*16)</t>
  </si>
  <si>
    <t>Реконструкция 100м. ВЛ-0,4 кВ (СИП-2 3*95+1*95+1*25)</t>
  </si>
  <si>
    <t>Реконструкция 100м. ВЛ-0,4 кВ (СИП-2 3*95+1*95+1*16)</t>
  </si>
  <si>
    <t>Реконструкция 100м. ВЛ-0,4 кВ (СИП-2 3*120+1*95)</t>
  </si>
  <si>
    <t>Строительство 1 км (двуцепка)  2 ВЛ-10 кВ(СИП-3 1*120)</t>
  </si>
  <si>
    <t>Глубинный заземлитель (20 м).</t>
  </si>
  <si>
    <t xml:space="preserve">Вырубка просеки (1 га) </t>
  </si>
  <si>
    <t>Лежневая дорога 1 км</t>
  </si>
  <si>
    <t>объем работ</t>
  </si>
  <si>
    <t>РД</t>
  </si>
  <si>
    <t>коэф. Оборудование</t>
  </si>
  <si>
    <t>ПИР, РД</t>
  </si>
  <si>
    <t>титул</t>
  </si>
  <si>
    <t>стоимость с  НДС (текущая)</t>
  </si>
  <si>
    <t xml:space="preserve">Строительство КТПБ    П -1* 250  </t>
  </si>
  <si>
    <t xml:space="preserve">Строительство КТПБ П  1*400   </t>
  </si>
  <si>
    <t>Строительство КТПБ П  1*630</t>
  </si>
  <si>
    <t>Строительство БКТП 2*2000</t>
  </si>
  <si>
    <t>Строительство БКТП 2*2500</t>
  </si>
  <si>
    <t>КЛ</t>
  </si>
  <si>
    <t>ВЛ</t>
  </si>
  <si>
    <t>Лежневая дорога 1 км без материала</t>
  </si>
  <si>
    <t xml:space="preserve">выбор наименования работ </t>
  </si>
  <si>
    <t>Расчёт полной стоимости объекта на базе расчета сметной стоимости</t>
  </si>
  <si>
    <t>Раздел 2. Расчет полной стоимости инвестиционного проекта в прогнозных ценах</t>
  </si>
  <si>
    <t>Обеспечение средствами коммерческого учета электрической энергии (мощности) трехфазными полукосвенного включения с точкой присоединения энергопринимающих устройств в кабельном киоске 0,4 кВ/распределительном устройстве 0,4 кВ трансформаторного пункта 6(10)/0,4 кВ потребителей с нагрузкой 1000 А и выше</t>
  </si>
  <si>
    <t xml:space="preserve">базисные единичные расценки, без НДС, руб </t>
  </si>
  <si>
    <t>Сумма СМР, ПНР (без оборудования) в ценах текущего года , без НДС, руб</t>
  </si>
  <si>
    <t>руб. без НДС</t>
  </si>
  <si>
    <t>Сумма, в ценах текущего года составления сметного расчета, без НДС, руб.</t>
  </si>
  <si>
    <t xml:space="preserve">Сумма в прогнозных ценах 
без НДС руб </t>
  </si>
  <si>
    <t xml:space="preserve">Сумма в прогнозных ценах с НДС, руб.    </t>
  </si>
  <si>
    <t>шт/км</t>
  </si>
  <si>
    <t>СМР без оборудования без НДС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</si>
  <si>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 в базовых ценах 2000 года, утвержденного приказом от 23.11.21 №513 о/д, и доведенных индексов пересчета сметной стоимости.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</si>
  <si>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</si>
  <si>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</si>
  <si>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Индекс пересчета сметной стоимости из базисных цен в цены текщего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</si>
  <si>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 xml:space="preserve">ПИР </t>
  </si>
  <si>
    <t>Раздел 1. Расчет сметной стоимости инвестиционного проекта</t>
  </si>
  <si>
    <t>Стоимость
(оборудования) в ценах текущего года , без НДС, руб</t>
  </si>
  <si>
    <t>Индекс пересчета сметной стоимости из базисных цен в текущие цены</t>
  </si>
  <si>
    <t>Демонтаж 1 км ВЛ-0,4 кВ (СИП-2 3*95+1*95+1*16)  деревянные опоры</t>
  </si>
  <si>
    <t>Демонтаж 1 км ВЛ-0,4 кВ (СИП-2 3*95+1*95+1*16)  ж/б опоры</t>
  </si>
  <si>
    <t>шт.</t>
  </si>
  <si>
    <t>км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</si>
  <si>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</si>
  <si>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3 кв. 2023</t>
  </si>
  <si>
    <t xml:space="preserve">строительный контроль </t>
  </si>
  <si>
    <t>иные</t>
  </si>
  <si>
    <t>содержание службы заказчика застройщика</t>
  </si>
  <si>
    <t>2026 г.</t>
  </si>
  <si>
    <t>2027 г.</t>
  </si>
  <si>
    <t>2028 г.</t>
  </si>
  <si>
    <t>2029 г.</t>
  </si>
  <si>
    <t>шт</t>
  </si>
  <si>
    <t>СосБ, Стр-во КЛ-10 кВ от КТП-10/0,4 кВ до проектируемой опоры ВЛЗ-10 кВ в г. Сосновый Бор ЛО (21-1-08-1-08-06-0-1441)</t>
  </si>
  <si>
    <t>30 м2</t>
  </si>
  <si>
    <t>1</t>
  </si>
  <si>
    <t>2</t>
  </si>
  <si>
    <t>3</t>
  </si>
  <si>
    <t>M_21-1-08-1-08-06-0-1441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</si>
</sst>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3">
      <alignment horizontal="left" vertical="top"/>
    </xf>
    <xf numFmtId="0" fontId="13" fillId="0" borderId="0"/>
    <xf numFmtId="0" fontId="2" fillId="0" borderId="0"/>
  </cellStyleXfs>
  <cellXfs count="20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0" xfId="0" applyFont="1"/>
    <xf numFmtId="0" fontId="7" fillId="0" borderId="0" xfId="7" applyFont="1" applyFill="1" applyAlignment="1">
      <alignment horizontal="right"/>
    </xf>
    <xf numFmtId="0" fontId="12" fillId="0" borderId="0" xfId="0" applyFont="1"/>
    <xf numFmtId="0" fontId="0" fillId="0" borderId="0" xfId="0" applyAlignment="1">
      <alignment horizontal="left"/>
    </xf>
    <xf numFmtId="0" fontId="2" fillId="0" borderId="0" xfId="10"/>
    <xf numFmtId="0" fontId="7" fillId="0" borderId="0" xfId="10" applyFont="1"/>
    <xf numFmtId="0" fontId="14" fillId="0" borderId="0" xfId="9" applyFont="1" applyBorder="1" applyAlignment="1" applyProtection="1">
      <alignment horizontal="left" vertical="center" wrapText="1"/>
    </xf>
    <xf numFmtId="4" fontId="14" fillId="0" borderId="0" xfId="9" applyNumberFormat="1" applyFont="1" applyBorder="1" applyAlignment="1" applyProtection="1">
      <alignment horizontal="center" vertical="center" wrapText="1"/>
    </xf>
    <xf numFmtId="165" fontId="14" fillId="2" borderId="0" xfId="6" applyFont="1" applyFill="1" applyBorder="1" applyAlignment="1" applyProtection="1">
      <alignment horizontal="center" vertical="center" wrapText="1"/>
      <protection locked="0"/>
    </xf>
    <xf numFmtId="165" fontId="14" fillId="0" borderId="0" xfId="6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7" fillId="0" borderId="0" xfId="0" applyFont="1" applyFill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3" xfId="0" quotePrefix="1" applyNumberFormat="1" applyFont="1" applyBorder="1" applyAlignment="1">
      <alignment horizontal="right" vertical="center"/>
    </xf>
    <xf numFmtId="4" fontId="8" fillId="0" borderId="3" xfId="0" quotePrefix="1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/>
    </xf>
    <xf numFmtId="165" fontId="16" fillId="2" borderId="0" xfId="6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Fill="1"/>
    <xf numFmtId="0" fontId="16" fillId="0" borderId="0" xfId="0" applyFont="1" applyFill="1"/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4" fontId="17" fillId="0" borderId="16" xfId="0" applyNumberFormat="1" applyFont="1" applyBorder="1" applyAlignment="1">
      <alignment horizontal="left" vertical="center" wrapText="1"/>
    </xf>
    <xf numFmtId="4" fontId="18" fillId="5" borderId="16" xfId="0" applyNumberFormat="1" applyFont="1" applyFill="1" applyBorder="1" applyAlignment="1">
      <alignment horizontal="left" vertical="center" wrapText="1"/>
    </xf>
    <xf numFmtId="4" fontId="18" fillId="6" borderId="16" xfId="0" applyNumberFormat="1" applyFont="1" applyFill="1" applyBorder="1" applyAlignment="1">
      <alignment horizontal="left" vertical="center" wrapText="1"/>
    </xf>
    <xf numFmtId="4" fontId="17" fillId="7" borderId="16" xfId="0" applyNumberFormat="1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4" fontId="18" fillId="5" borderId="4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/>
    </xf>
    <xf numFmtId="4" fontId="18" fillId="6" borderId="8" xfId="0" applyNumberFormat="1" applyFont="1" applyFill="1" applyBorder="1" applyAlignment="1">
      <alignment horizontal="center" vertical="center"/>
    </xf>
    <xf numFmtId="4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/>
    </xf>
    <xf numFmtId="4" fontId="18" fillId="6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4" fontId="19" fillId="5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6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 wrapText="1"/>
    </xf>
    <xf numFmtId="4" fontId="18" fillId="5" borderId="3" xfId="0" applyNumberFormat="1" applyFont="1" applyFill="1" applyBorder="1" applyAlignment="1">
      <alignment horizontal="left" vertical="center" wrapText="1"/>
    </xf>
    <xf numFmtId="0" fontId="18" fillId="8" borderId="4" xfId="0" applyFont="1" applyFill="1" applyBorder="1"/>
    <xf numFmtId="0" fontId="18" fillId="9" borderId="4" xfId="0" applyFont="1" applyFill="1" applyBorder="1"/>
    <xf numFmtId="4" fontId="17" fillId="7" borderId="8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/>
    <xf numFmtId="0" fontId="18" fillId="8" borderId="3" xfId="0" applyFont="1" applyFill="1" applyBorder="1"/>
    <xf numFmtId="0" fontId="18" fillId="8" borderId="3" xfId="0" applyFont="1" applyFill="1" applyBorder="1" applyAlignment="1">
      <alignment horizontal="left" vertical="center" wrapText="1"/>
    </xf>
    <xf numFmtId="4" fontId="18" fillId="8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Border="1"/>
    <xf numFmtId="4" fontId="18" fillId="9" borderId="3" xfId="0" applyNumberFormat="1" applyFont="1" applyFill="1" applyBorder="1"/>
    <xf numFmtId="4" fontId="18" fillId="7" borderId="3" xfId="0" applyNumberFormat="1" applyFont="1" applyFill="1" applyBorder="1" applyAlignment="1">
      <alignment horizontal="left" vertical="center" wrapText="1"/>
    </xf>
    <xf numFmtId="4" fontId="18" fillId="8" borderId="3" xfId="0" applyNumberFormat="1" applyFont="1" applyFill="1" applyBorder="1"/>
    <xf numFmtId="0" fontId="18" fillId="7" borderId="3" xfId="0" applyFont="1" applyFill="1" applyBorder="1"/>
    <xf numFmtId="0" fontId="18" fillId="0" borderId="3" xfId="0" applyFont="1" applyBorder="1"/>
    <xf numFmtId="0" fontId="18" fillId="8" borderId="3" xfId="0" applyFont="1" applyFill="1" applyBorder="1" applyAlignment="1">
      <alignment wrapText="1"/>
    </xf>
    <xf numFmtId="0" fontId="17" fillId="8" borderId="3" xfId="0" applyFont="1" applyFill="1" applyBorder="1" applyAlignment="1">
      <alignment wrapText="1"/>
    </xf>
    <xf numFmtId="0" fontId="18" fillId="10" borderId="3" xfId="0" applyFont="1" applyFill="1" applyBorder="1"/>
    <xf numFmtId="0" fontId="18" fillId="10" borderId="3" xfId="0" applyFont="1" applyFill="1" applyBorder="1" applyAlignment="1">
      <alignment horizontal="left" vertical="center" wrapText="1"/>
    </xf>
    <xf numFmtId="4" fontId="18" fillId="10" borderId="3" xfId="0" applyNumberFormat="1" applyFont="1" applyFill="1" applyBorder="1" applyAlignment="1">
      <alignment horizontal="left" vertical="center" wrapText="1"/>
    </xf>
    <xf numFmtId="4" fontId="18" fillId="10" borderId="3" xfId="0" applyNumberFormat="1" applyFont="1" applyFill="1" applyBorder="1"/>
    <xf numFmtId="4" fontId="18" fillId="11" borderId="3" xfId="0" applyNumberFormat="1" applyFont="1" applyFill="1" applyBorder="1"/>
    <xf numFmtId="4" fontId="18" fillId="10" borderId="3" xfId="0" applyNumberFormat="1" applyFont="1" applyFill="1" applyBorder="1" applyAlignment="1">
      <alignment horizontal="center" vertical="center"/>
    </xf>
    <xf numFmtId="4" fontId="18" fillId="11" borderId="3" xfId="0" applyNumberFormat="1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4" fontId="18" fillId="10" borderId="2" xfId="0" applyNumberFormat="1" applyFont="1" applyFill="1" applyBorder="1" applyAlignment="1">
      <alignment horizontal="left" vertical="center" wrapText="1"/>
    </xf>
    <xf numFmtId="4" fontId="18" fillId="10" borderId="2" xfId="0" applyNumberFormat="1" applyFont="1" applyFill="1" applyBorder="1"/>
    <xf numFmtId="4" fontId="18" fillId="11" borderId="2" xfId="0" applyNumberFormat="1" applyFont="1" applyFill="1" applyBorder="1"/>
    <xf numFmtId="0" fontId="18" fillId="7" borderId="2" xfId="0" applyFont="1" applyFill="1" applyBorder="1"/>
    <xf numFmtId="0" fontId="18" fillId="0" borderId="2" xfId="0" applyFont="1" applyBorder="1"/>
    <xf numFmtId="4" fontId="18" fillId="10" borderId="3" xfId="0" applyNumberFormat="1" applyFont="1" applyFill="1" applyBorder="1" applyAlignment="1">
      <alignment vertical="center"/>
    </xf>
    <xf numFmtId="4" fontId="18" fillId="11" borderId="3" xfId="0" applyNumberFormat="1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7" fillId="5" borderId="14" xfId="0" applyNumberFormat="1" applyFont="1" applyFill="1" applyBorder="1" applyAlignment="1">
      <alignment horizontal="center" vertical="center" wrapText="1"/>
    </xf>
    <xf numFmtId="4" fontId="17" fillId="6" borderId="14" xfId="0" applyNumberFormat="1" applyFont="1" applyFill="1" applyBorder="1" applyAlignment="1">
      <alignment horizontal="center" vertical="center" wrapText="1"/>
    </xf>
    <xf numFmtId="4" fontId="17" fillId="7" borderId="14" xfId="0" applyNumberFormat="1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/>
    <xf numFmtId="0" fontId="8" fillId="0" borderId="0" xfId="0" applyFont="1" applyFill="1"/>
    <xf numFmtId="0" fontId="21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0" fontId="21" fillId="0" borderId="0" xfId="10" applyNumberFormat="1" applyFont="1" applyBorder="1" applyAlignment="1">
      <alignment wrapText="1"/>
    </xf>
    <xf numFmtId="2" fontId="20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4" fontId="8" fillId="0" borderId="3" xfId="0" applyNumberFormat="1" applyFont="1" applyFill="1" applyBorder="1" applyAlignment="1">
      <alignment horizontal="center" vertical="center"/>
    </xf>
    <xf numFmtId="165" fontId="23" fillId="0" borderId="0" xfId="6" applyFont="1" applyFill="1" applyBorder="1" applyAlignment="1" applyProtection="1">
      <alignment horizontal="center" vertical="center" wrapText="1"/>
      <protection locked="0"/>
    </xf>
    <xf numFmtId="166" fontId="23" fillId="0" borderId="0" xfId="1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quotePrefix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view="pageBreakPreview" zoomScale="85" zoomScaleNormal="85" zoomScaleSheetLayoutView="85" workbookViewId="0">
      <selection activeCell="M40" sqref="M40:N40"/>
    </sheetView>
  </sheetViews>
  <sheetFormatPr defaultRowHeight="15" x14ac:dyDescent="0.25"/>
  <cols>
    <col min="1" max="1" width="6.7109375" style="4" customWidth="1"/>
    <col min="2" max="2" width="33.28515625" style="2" customWidth="1"/>
    <col min="3" max="3" width="13.7109375" style="2" customWidth="1"/>
    <col min="4" max="4" width="5.5703125" style="2" customWidth="1"/>
    <col min="5" max="5" width="6" style="2" customWidth="1"/>
    <col min="6" max="6" width="5.5703125" style="2" customWidth="1"/>
    <col min="7" max="7" width="7.5703125" style="2" customWidth="1"/>
    <col min="8" max="8" width="14.28515625" style="2" customWidth="1"/>
    <col min="9" max="9" width="12.5703125" style="2" customWidth="1"/>
    <col min="10" max="10" width="6.5703125" style="2" customWidth="1"/>
    <col min="11" max="11" width="7.140625" style="2" customWidth="1"/>
    <col min="12" max="13" width="10.5703125" style="2" customWidth="1"/>
    <col min="14" max="14" width="11.5703125" style="2" customWidth="1"/>
    <col min="15" max="15" width="11.42578125" style="2" customWidth="1"/>
    <col min="16" max="16" width="15.7109375" style="2" customWidth="1"/>
    <col min="17" max="17" width="12.140625" style="2" customWidth="1"/>
    <col min="18" max="18" width="11.140625" style="2" customWidth="1"/>
    <col min="19" max="19" width="11" style="2" customWidth="1"/>
    <col min="20" max="20" width="17.42578125" style="2" customWidth="1"/>
    <col min="21" max="21" width="13" style="2" customWidth="1"/>
    <col min="22" max="16384" width="9.140625" style="2"/>
  </cols>
  <sheetData>
    <row r="1" spans="1:22" x14ac:dyDescent="0.25">
      <c r="M1" s="13"/>
      <c r="P1" s="13"/>
    </row>
    <row r="2" spans="1:22" ht="9" customHeight="1" x14ac:dyDescent="0.25"/>
    <row r="3" spans="1:22" x14ac:dyDescent="0.25">
      <c r="A3" s="1" t="s">
        <v>331</v>
      </c>
    </row>
    <row r="4" spans="1:22" ht="10.5" customHeight="1" x14ac:dyDescent="0.25"/>
    <row r="5" spans="1:22" ht="30" customHeight="1" x14ac:dyDescent="0.25">
      <c r="A5" s="186" t="s">
        <v>364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2" ht="10.5" customHeight="1" x14ac:dyDescent="0.25"/>
    <row r="7" spans="1:22" ht="13.5" customHeight="1" x14ac:dyDescent="0.25">
      <c r="A7" s="6" t="s">
        <v>5</v>
      </c>
      <c r="H7" s="205" t="s">
        <v>369</v>
      </c>
      <c r="I7" s="205"/>
      <c r="J7" s="205"/>
      <c r="K7" s="205"/>
      <c r="L7" s="205"/>
      <c r="M7" s="205"/>
      <c r="N7" s="205"/>
      <c r="O7" s="205"/>
      <c r="P7" s="205"/>
    </row>
    <row r="8" spans="1:22" ht="10.5" customHeight="1" x14ac:dyDescent="0.25">
      <c r="A8" s="6"/>
      <c r="H8" s="31"/>
      <c r="I8" s="31"/>
      <c r="J8" s="31"/>
      <c r="K8" s="31"/>
      <c r="M8" s="27"/>
    </row>
    <row r="9" spans="1:22" x14ac:dyDescent="0.25">
      <c r="A9" s="6" t="s">
        <v>8</v>
      </c>
      <c r="H9" s="190" t="s">
        <v>75</v>
      </c>
      <c r="I9" s="190"/>
      <c r="J9" s="190"/>
      <c r="K9" s="190"/>
      <c r="L9" s="26"/>
      <c r="M9" s="27"/>
    </row>
    <row r="10" spans="1:22" ht="9" customHeight="1" x14ac:dyDescent="0.25">
      <c r="A10" s="7"/>
      <c r="K10" s="26"/>
      <c r="L10" s="26"/>
      <c r="M10" s="26"/>
    </row>
    <row r="11" spans="1:22" x14ac:dyDescent="0.25">
      <c r="A11" s="8" t="s">
        <v>347</v>
      </c>
      <c r="B11" s="5"/>
      <c r="C11" s="5"/>
      <c r="D11" s="5"/>
      <c r="E11" s="5"/>
      <c r="F11" s="5"/>
      <c r="G11" s="5"/>
      <c r="H11" s="5"/>
      <c r="I11" s="5"/>
      <c r="J11" s="5"/>
      <c r="K11" s="26"/>
      <c r="L11" s="26"/>
      <c r="M11" s="26"/>
    </row>
    <row r="12" spans="1:22" ht="15" customHeight="1" x14ac:dyDescent="0.25">
      <c r="K12" s="26"/>
      <c r="L12" s="26"/>
      <c r="M12" s="26"/>
      <c r="P12" s="150" t="s">
        <v>355</v>
      </c>
    </row>
    <row r="13" spans="1:22" s="4" customFormat="1" ht="39" customHeight="1" x14ac:dyDescent="0.25">
      <c r="A13" s="188" t="s">
        <v>6</v>
      </c>
      <c r="B13" s="188" t="s">
        <v>9</v>
      </c>
      <c r="C13" s="188" t="s">
        <v>334</v>
      </c>
      <c r="D13" s="188" t="s">
        <v>349</v>
      </c>
      <c r="E13" s="188"/>
      <c r="F13" s="188"/>
      <c r="G13" s="188"/>
      <c r="H13" s="188" t="s">
        <v>335</v>
      </c>
      <c r="I13" s="188" t="s">
        <v>348</v>
      </c>
      <c r="J13" s="188" t="s">
        <v>7</v>
      </c>
      <c r="K13" s="189" t="s">
        <v>316</v>
      </c>
      <c r="L13" s="136" t="s">
        <v>336</v>
      </c>
      <c r="M13" s="136" t="s">
        <v>336</v>
      </c>
      <c r="N13" s="136" t="s">
        <v>336</v>
      </c>
      <c r="O13" s="136" t="s">
        <v>336</v>
      </c>
      <c r="P13" s="185" t="s">
        <v>337</v>
      </c>
      <c r="Q13" s="24"/>
    </row>
    <row r="14" spans="1:22" ht="38.25" customHeight="1" x14ac:dyDescent="0.25">
      <c r="A14" s="188"/>
      <c r="B14" s="188"/>
      <c r="C14" s="188"/>
      <c r="D14" s="136" t="s">
        <v>89</v>
      </c>
      <c r="E14" s="136" t="s">
        <v>91</v>
      </c>
      <c r="F14" s="136" t="s">
        <v>93</v>
      </c>
      <c r="G14" s="136" t="s">
        <v>318</v>
      </c>
      <c r="H14" s="188"/>
      <c r="I14" s="188"/>
      <c r="J14" s="188"/>
      <c r="K14" s="189"/>
      <c r="L14" s="136" t="s">
        <v>1</v>
      </c>
      <c r="M14" s="136" t="s">
        <v>317</v>
      </c>
      <c r="N14" s="136" t="s">
        <v>2</v>
      </c>
      <c r="O14" s="136" t="s">
        <v>3</v>
      </c>
      <c r="P14" s="185"/>
      <c r="Q14" s="138"/>
      <c r="R14" s="138"/>
      <c r="S14" s="138"/>
      <c r="T14" s="138"/>
      <c r="U14" s="21"/>
      <c r="V14" s="16"/>
    </row>
    <row r="15" spans="1:22" x14ac:dyDescent="0.25">
      <c r="A15" s="141" t="s">
        <v>10</v>
      </c>
      <c r="B15" s="9" t="s">
        <v>11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39"/>
      <c r="R15" s="139"/>
      <c r="S15" s="139"/>
      <c r="T15" s="139"/>
      <c r="U15" s="39"/>
      <c r="V15" s="17"/>
    </row>
    <row r="16" spans="1:22" ht="24" customHeight="1" x14ac:dyDescent="0.25">
      <c r="A16" s="10" t="s">
        <v>366</v>
      </c>
      <c r="B16" s="40" t="s">
        <v>195</v>
      </c>
      <c r="C16" s="37">
        <f>VLOOKUP($B$16:$B$29,'Наименование работ'!B:G,6,)</f>
        <v>1160478.56</v>
      </c>
      <c r="D16" s="37">
        <f>VLOOKUP($B$16:$B$29,'Наименование работ'!B:K,10,)</f>
        <v>19.489999999999998</v>
      </c>
      <c r="E16" s="37">
        <f>VLOOKUP($B$16:$B$29,'Наименование работ'!B:M,12,)</f>
        <v>8.27</v>
      </c>
      <c r="F16" s="37">
        <f>VLOOKUP($B$16:$B$29,'Наименование работ'!B:O,14,)</f>
        <v>3.76</v>
      </c>
      <c r="G16" s="37">
        <f>VLOOKUP($B$16:$B$29,'Наименование работ'!B:Q,16,)</f>
        <v>0</v>
      </c>
      <c r="H16" s="36">
        <f>VLOOKUP(B16:B29,'Наименование работ'!B:S,18,)</f>
        <v>7949049.7363000019</v>
      </c>
      <c r="I16" s="36">
        <f>VLOOKUP($B$16:$B$29,'Наименование работ'!B:R,17,)</f>
        <v>0</v>
      </c>
      <c r="J16" s="38" t="s">
        <v>353</v>
      </c>
      <c r="K16" s="155">
        <v>0.46300000000000002</v>
      </c>
      <c r="L16" s="33">
        <f t="shared" ref="L16:L18" si="0">(N16+O16)*0.04</f>
        <v>147216.40111627604</v>
      </c>
      <c r="M16" s="33">
        <f t="shared" ref="M16" si="1">147300*K16</f>
        <v>68199.900000000009</v>
      </c>
      <c r="N16" s="34">
        <f>K16*H16</f>
        <v>3680410.0279069012</v>
      </c>
      <c r="O16" s="34">
        <f>K16*I16</f>
        <v>0</v>
      </c>
      <c r="P16" s="34">
        <f t="shared" ref="P16" si="2">SUM(L16:O16)</f>
        <v>3895826.3290231773</v>
      </c>
      <c r="Q16" s="25"/>
      <c r="R16" s="25"/>
      <c r="S16" s="25"/>
      <c r="T16" s="25"/>
      <c r="U16" s="20"/>
      <c r="V16" s="17"/>
    </row>
    <row r="17" spans="1:22" ht="24" customHeight="1" x14ac:dyDescent="0.25">
      <c r="A17" s="10" t="s">
        <v>367</v>
      </c>
      <c r="B17" s="40" t="s">
        <v>210</v>
      </c>
      <c r="C17" s="37">
        <f>VLOOKUP($B$16:$B$29,'Наименование работ'!B:G,6,)</f>
        <v>898103.22</v>
      </c>
      <c r="D17" s="37">
        <f>VLOOKUP($B$16:$B$29,'Наименование работ'!B:K,10,)</f>
        <v>19.489999999999998</v>
      </c>
      <c r="E17" s="37">
        <f>VLOOKUP($B$16:$B$29,'Наименование работ'!B:M,12,)</f>
        <v>8.27</v>
      </c>
      <c r="F17" s="37">
        <f>VLOOKUP($B$16:$B$29,'Наименование работ'!B:O,14,)</f>
        <v>3.76</v>
      </c>
      <c r="G17" s="37">
        <f>VLOOKUP($B$16:$B$29,'Наименование работ'!B:Q,16,)</f>
        <v>0</v>
      </c>
      <c r="H17" s="36">
        <f>VLOOKUP(B17:B30,'Наименование работ'!B:S,18,)</f>
        <v>8348995.227599998</v>
      </c>
      <c r="I17" s="36">
        <f>VLOOKUP($B$16:$B$29,'Наименование работ'!B:R,17,)</f>
        <v>0</v>
      </c>
      <c r="J17" s="38" t="s">
        <v>353</v>
      </c>
      <c r="K17" s="155">
        <v>1.7999999999999999E-2</v>
      </c>
      <c r="L17" s="33">
        <f t="shared" si="0"/>
        <v>6011.2765638719975</v>
      </c>
      <c r="M17" s="33">
        <v>0</v>
      </c>
      <c r="N17" s="34">
        <f t="shared" ref="N17:N29" si="3">K17*H17</f>
        <v>150281.91409679994</v>
      </c>
      <c r="O17" s="34">
        <f t="shared" ref="O17:O29" si="4">K17*I17</f>
        <v>0</v>
      </c>
      <c r="P17" s="34">
        <f t="shared" ref="P17" si="5">SUM(L17:O17)</f>
        <v>156293.19066067194</v>
      </c>
      <c r="Q17" s="25"/>
      <c r="R17" s="25"/>
      <c r="S17" s="25"/>
      <c r="T17" s="25"/>
      <c r="U17" s="20"/>
      <c r="V17" s="17"/>
    </row>
    <row r="18" spans="1:22" ht="24" customHeight="1" x14ac:dyDescent="0.25">
      <c r="A18" s="10" t="s">
        <v>368</v>
      </c>
      <c r="B18" s="40" t="s">
        <v>248</v>
      </c>
      <c r="C18" s="37">
        <f>VLOOKUP($B$16:$B$29,'Наименование работ'!B:G,6,)</f>
        <v>11335.53</v>
      </c>
      <c r="D18" s="37">
        <f>VLOOKUP($B$16:$B$29,'Наименование работ'!B:K,10,)</f>
        <v>19.489999999999998</v>
      </c>
      <c r="E18" s="37">
        <f>VLOOKUP($B$16:$B$29,'Наименование работ'!B:M,12,)</f>
        <v>8.27</v>
      </c>
      <c r="F18" s="37">
        <f>VLOOKUP($B$16:$B$29,'Наименование работ'!B:O,14,)</f>
        <v>3.76</v>
      </c>
      <c r="G18" s="37">
        <f>VLOOKUP($B$16:$B$29,'Наименование работ'!B:Q,16,)</f>
        <v>0</v>
      </c>
      <c r="H18" s="36">
        <f>VLOOKUP(B18:B31,'Наименование работ'!B:S,18,)</f>
        <v>164832.92600000001</v>
      </c>
      <c r="I18" s="36">
        <f>VLOOKUP($B$16:$B$29,'Наименование работ'!B:R,17,)</f>
        <v>0</v>
      </c>
      <c r="J18" s="38" t="s">
        <v>365</v>
      </c>
      <c r="K18" s="149">
        <v>10</v>
      </c>
      <c r="L18" s="33">
        <f t="shared" si="0"/>
        <v>65933.170400000003</v>
      </c>
      <c r="M18" s="33">
        <v>0</v>
      </c>
      <c r="N18" s="34">
        <f t="shared" si="3"/>
        <v>1648329.26</v>
      </c>
      <c r="O18" s="34">
        <f t="shared" si="4"/>
        <v>0</v>
      </c>
      <c r="P18" s="34">
        <f t="shared" ref="P18" si="6">SUM(L18:O18)</f>
        <v>1714262.4304</v>
      </c>
      <c r="Q18" s="25"/>
      <c r="R18" s="25"/>
      <c r="S18" s="25"/>
      <c r="T18" s="25"/>
      <c r="U18" s="20"/>
      <c r="V18" s="17"/>
    </row>
    <row r="19" spans="1:22" ht="24" hidden="1" customHeight="1" x14ac:dyDescent="0.25">
      <c r="A19" s="10"/>
      <c r="B19" s="40" t="s">
        <v>330</v>
      </c>
      <c r="C19" s="37">
        <f>VLOOKUP($B$16:$B$29,'Наименование работ'!B:G,6,)</f>
        <v>0</v>
      </c>
      <c r="D19" s="37">
        <f>VLOOKUP($B$16:$B$29,'Наименование работ'!B:K,10,)</f>
        <v>0</v>
      </c>
      <c r="E19" s="37">
        <f>VLOOKUP($B$16:$B$29,'Наименование работ'!B:M,12,)</f>
        <v>0</v>
      </c>
      <c r="F19" s="37">
        <f>VLOOKUP($B$16:$B$29,'Наименование работ'!B:O,14,)</f>
        <v>0</v>
      </c>
      <c r="G19" s="37">
        <f>VLOOKUP($B$16:$B$29,'Наименование работ'!B:Q,16,)</f>
        <v>0</v>
      </c>
      <c r="H19" s="36">
        <f>VLOOKUP(B19:B32,'Наименование работ'!B:S,18,)</f>
        <v>0</v>
      </c>
      <c r="I19" s="36">
        <f>VLOOKUP($B$16:$B$29,'Наименование работ'!B:R,17,)</f>
        <v>0</v>
      </c>
      <c r="J19" s="38" t="s">
        <v>363</v>
      </c>
      <c r="K19" s="149">
        <v>0</v>
      </c>
      <c r="L19" s="33">
        <f>(N19+O19)*0.04</f>
        <v>0</v>
      </c>
      <c r="M19" s="33">
        <f t="shared" ref="M19:M29" si="7">147300*K19</f>
        <v>0</v>
      </c>
      <c r="N19" s="34">
        <f t="shared" si="3"/>
        <v>0</v>
      </c>
      <c r="O19" s="34">
        <f t="shared" si="4"/>
        <v>0</v>
      </c>
      <c r="P19" s="34">
        <f t="shared" ref="P19:P23" si="8">SUM(L19:O19)</f>
        <v>0</v>
      </c>
      <c r="Q19" s="25"/>
      <c r="R19" s="25"/>
      <c r="S19" s="25"/>
      <c r="T19" s="25"/>
      <c r="U19" s="20"/>
      <c r="V19" s="17"/>
    </row>
    <row r="20" spans="1:22" ht="24" hidden="1" customHeight="1" x14ac:dyDescent="0.25">
      <c r="A20" s="10"/>
      <c r="B20" s="40" t="s">
        <v>330</v>
      </c>
      <c r="C20" s="37">
        <f>VLOOKUP($B$16:$B$29,'Наименование работ'!B:G,6,)</f>
        <v>0</v>
      </c>
      <c r="D20" s="37">
        <f>VLOOKUP($B$16:$B$29,'Наименование работ'!B:K,10,)</f>
        <v>0</v>
      </c>
      <c r="E20" s="37">
        <f>VLOOKUP($B$16:$B$29,'Наименование работ'!B:M,12,)</f>
        <v>0</v>
      </c>
      <c r="F20" s="37">
        <f>VLOOKUP($B$16:$B$29,'Наименование работ'!B:O,14,)</f>
        <v>0</v>
      </c>
      <c r="G20" s="37">
        <f>VLOOKUP($B$16:$B$29,'Наименование работ'!B:Q,16,)</f>
        <v>0</v>
      </c>
      <c r="H20" s="36">
        <f>VLOOKUP(B20:B33,'Наименование работ'!B:S,18,)</f>
        <v>0</v>
      </c>
      <c r="I20" s="36">
        <f>VLOOKUP($B$16:$B$29,'Наименование работ'!B:R,17,)</f>
        <v>0</v>
      </c>
      <c r="J20" s="38" t="s">
        <v>353</v>
      </c>
      <c r="K20" s="149">
        <v>0</v>
      </c>
      <c r="L20" s="33">
        <f>(N20+O20)*0.04</f>
        <v>0</v>
      </c>
      <c r="M20" s="33">
        <f t="shared" si="7"/>
        <v>0</v>
      </c>
      <c r="N20" s="34">
        <f t="shared" si="3"/>
        <v>0</v>
      </c>
      <c r="O20" s="34">
        <f t="shared" si="4"/>
        <v>0</v>
      </c>
      <c r="P20" s="34">
        <f t="shared" si="8"/>
        <v>0</v>
      </c>
      <c r="Q20" s="25"/>
      <c r="R20" s="25"/>
      <c r="S20" s="25"/>
      <c r="T20" s="25"/>
      <c r="U20" s="20"/>
      <c r="V20" s="17"/>
    </row>
    <row r="21" spans="1:22" ht="24" hidden="1" customHeight="1" x14ac:dyDescent="0.25">
      <c r="A21" s="10"/>
      <c r="B21" s="40" t="s">
        <v>330</v>
      </c>
      <c r="C21" s="37">
        <f>VLOOKUP($B$16:$B$29,'Наименование работ'!B:G,6,)</f>
        <v>0</v>
      </c>
      <c r="D21" s="37">
        <f>VLOOKUP($B$16:$B$29,'Наименование работ'!B:K,10,)</f>
        <v>0</v>
      </c>
      <c r="E21" s="37">
        <f>VLOOKUP($B$16:$B$29,'Наименование работ'!B:M,12,)</f>
        <v>0</v>
      </c>
      <c r="F21" s="37">
        <f>VLOOKUP($B$16:$B$29,'Наименование работ'!B:O,14,)</f>
        <v>0</v>
      </c>
      <c r="G21" s="37">
        <f>VLOOKUP($B$16:$B$29,'Наименование работ'!B:Q,16,)</f>
        <v>0</v>
      </c>
      <c r="H21" s="36">
        <f>VLOOKUP(B21:B34,'Наименование работ'!B:S,18,)</f>
        <v>0</v>
      </c>
      <c r="I21" s="36">
        <f>VLOOKUP($B$16:$B$29,'Наименование работ'!B:R,17,)</f>
        <v>0</v>
      </c>
      <c r="J21" s="38" t="s">
        <v>352</v>
      </c>
      <c r="K21" s="149">
        <v>0</v>
      </c>
      <c r="L21" s="33">
        <f>(N21+O21)*0.04</f>
        <v>0</v>
      </c>
      <c r="M21" s="33">
        <f t="shared" si="7"/>
        <v>0</v>
      </c>
      <c r="N21" s="34">
        <f t="shared" si="3"/>
        <v>0</v>
      </c>
      <c r="O21" s="34">
        <f t="shared" si="4"/>
        <v>0</v>
      </c>
      <c r="P21" s="34">
        <f t="shared" si="8"/>
        <v>0</v>
      </c>
      <c r="Q21" s="25"/>
      <c r="R21" s="25"/>
      <c r="S21" s="25"/>
      <c r="T21" s="25"/>
      <c r="U21" s="20"/>
      <c r="V21" s="17"/>
    </row>
    <row r="22" spans="1:22" ht="28.5" hidden="1" customHeight="1" x14ac:dyDescent="0.25">
      <c r="A22" s="10"/>
      <c r="B22" s="40" t="s">
        <v>330</v>
      </c>
      <c r="C22" s="37">
        <f>VLOOKUP($B$16:$B$29,'Наименование работ'!B:G,6,)</f>
        <v>0</v>
      </c>
      <c r="D22" s="37">
        <f>VLOOKUP($B$16:$B$29,'Наименование работ'!B:K,10,)</f>
        <v>0</v>
      </c>
      <c r="E22" s="37">
        <f>VLOOKUP($B$16:$B$29,'Наименование работ'!B:M,12,)</f>
        <v>0</v>
      </c>
      <c r="F22" s="37">
        <f>VLOOKUP($B$16:$B$29,'Наименование работ'!B:O,14,)</f>
        <v>0</v>
      </c>
      <c r="G22" s="37">
        <f>VLOOKUP($B$16:$B$29,'Наименование работ'!B:Q,16,)</f>
        <v>0</v>
      </c>
      <c r="H22" s="36">
        <f>VLOOKUP(B22:B35,'Наименование работ'!B:S,18,)</f>
        <v>0</v>
      </c>
      <c r="I22" s="36">
        <f>VLOOKUP($B$16:$B$29,'Наименование работ'!B:R,17,)</f>
        <v>0</v>
      </c>
      <c r="J22" s="38" t="s">
        <v>353</v>
      </c>
      <c r="K22" s="149">
        <v>0</v>
      </c>
      <c r="L22" s="33">
        <f t="shared" ref="L22:L29" si="9">(N22+O22)*0.08</f>
        <v>0</v>
      </c>
      <c r="M22" s="33">
        <f t="shared" si="7"/>
        <v>0</v>
      </c>
      <c r="N22" s="34">
        <f t="shared" si="3"/>
        <v>0</v>
      </c>
      <c r="O22" s="34">
        <f t="shared" si="4"/>
        <v>0</v>
      </c>
      <c r="P22" s="34">
        <f t="shared" si="8"/>
        <v>0</v>
      </c>
      <c r="Q22" s="25"/>
      <c r="R22" s="25"/>
      <c r="S22" s="25"/>
      <c r="T22" s="25"/>
      <c r="U22" s="20"/>
      <c r="V22" s="17"/>
    </row>
    <row r="23" spans="1:22" ht="27" hidden="1" customHeight="1" x14ac:dyDescent="0.25">
      <c r="A23" s="10"/>
      <c r="B23" s="40" t="s">
        <v>330</v>
      </c>
      <c r="C23" s="37">
        <f>VLOOKUP($B$16:$B$29,'Наименование работ'!B:G,6,)</f>
        <v>0</v>
      </c>
      <c r="D23" s="37">
        <f>VLOOKUP($B$16:$B$29,'Наименование работ'!B:K,10,)</f>
        <v>0</v>
      </c>
      <c r="E23" s="37">
        <f>VLOOKUP($B$16:$B$29,'Наименование работ'!B:M,12,)</f>
        <v>0</v>
      </c>
      <c r="F23" s="37">
        <f>VLOOKUP($B$16:$B$29,'Наименование работ'!B:O,14,)</f>
        <v>0</v>
      </c>
      <c r="G23" s="37">
        <f>VLOOKUP($B$16:$B$29,'Наименование работ'!B:Q,16,)</f>
        <v>0</v>
      </c>
      <c r="H23" s="36">
        <f>VLOOKUP(B23:B36,'Наименование работ'!B:S,18,)</f>
        <v>0</v>
      </c>
      <c r="I23" s="36">
        <f>VLOOKUP($B$16:$B$29,'Наименование работ'!B:R,17,)</f>
        <v>0</v>
      </c>
      <c r="J23" s="38" t="s">
        <v>353</v>
      </c>
      <c r="K23" s="140">
        <v>0</v>
      </c>
      <c r="L23" s="33">
        <f t="shared" si="9"/>
        <v>0</v>
      </c>
      <c r="M23" s="33">
        <f t="shared" si="7"/>
        <v>0</v>
      </c>
      <c r="N23" s="34">
        <f t="shared" si="3"/>
        <v>0</v>
      </c>
      <c r="O23" s="34">
        <f t="shared" si="4"/>
        <v>0</v>
      </c>
      <c r="P23" s="34">
        <f t="shared" si="8"/>
        <v>0</v>
      </c>
      <c r="Q23" s="25"/>
      <c r="R23" s="25"/>
      <c r="S23" s="25"/>
      <c r="T23" s="25"/>
      <c r="U23" s="20"/>
      <c r="V23" s="17"/>
    </row>
    <row r="24" spans="1:22" ht="24" hidden="1" customHeight="1" x14ac:dyDescent="0.25">
      <c r="A24" s="10"/>
      <c r="B24" s="40" t="s">
        <v>330</v>
      </c>
      <c r="C24" s="37">
        <f>VLOOKUP($B$16:$B$29,'Наименование работ'!B:G,6,)</f>
        <v>0</v>
      </c>
      <c r="D24" s="37">
        <f>VLOOKUP($B$16:$B$29,'Наименование работ'!B:K,10,)</f>
        <v>0</v>
      </c>
      <c r="E24" s="37">
        <f>VLOOKUP($B$16:$B$29,'Наименование работ'!B:M,12,)</f>
        <v>0</v>
      </c>
      <c r="F24" s="37">
        <f>VLOOKUP($B$16:$B$29,'Наименование работ'!B:O,14,)</f>
        <v>0</v>
      </c>
      <c r="G24" s="37">
        <f>VLOOKUP($B$16:$B$29,'Наименование работ'!B:Q,16,)</f>
        <v>0</v>
      </c>
      <c r="H24" s="36">
        <f>VLOOKUP(B24:B37,'Наименование работ'!B:S,18,)</f>
        <v>0</v>
      </c>
      <c r="I24" s="36">
        <f>VLOOKUP($B$16:$B$29,'Наименование работ'!B:R,17,)</f>
        <v>0</v>
      </c>
      <c r="J24" s="38" t="s">
        <v>340</v>
      </c>
      <c r="K24" s="140">
        <v>0</v>
      </c>
      <c r="L24" s="33">
        <f t="shared" si="9"/>
        <v>0</v>
      </c>
      <c r="M24" s="33">
        <f t="shared" si="7"/>
        <v>0</v>
      </c>
      <c r="N24" s="34">
        <f t="shared" ref="N24:N28" si="10">K24*H24</f>
        <v>0</v>
      </c>
      <c r="O24" s="34">
        <f t="shared" si="4"/>
        <v>0</v>
      </c>
      <c r="P24" s="34">
        <f t="shared" ref="P24:P28" si="11">SUM(L24:O24)</f>
        <v>0</v>
      </c>
      <c r="Q24" s="25"/>
      <c r="R24" s="25"/>
      <c r="S24" s="25"/>
      <c r="T24" s="25"/>
      <c r="U24" s="20"/>
      <c r="V24" s="17"/>
    </row>
    <row r="25" spans="1:22" ht="24" hidden="1" customHeight="1" x14ac:dyDescent="0.25">
      <c r="A25" s="10"/>
      <c r="B25" s="40" t="s">
        <v>330</v>
      </c>
      <c r="C25" s="37">
        <f>VLOOKUP($B$16:$B$29,'Наименование работ'!B:G,6,)</f>
        <v>0</v>
      </c>
      <c r="D25" s="37">
        <f>VLOOKUP($B$16:$B$29,'Наименование работ'!B:K,10,)</f>
        <v>0</v>
      </c>
      <c r="E25" s="37">
        <f>VLOOKUP($B$16:$B$29,'Наименование работ'!B:M,12,)</f>
        <v>0</v>
      </c>
      <c r="F25" s="37">
        <f>VLOOKUP($B$16:$B$29,'Наименование работ'!B:O,14,)</f>
        <v>0</v>
      </c>
      <c r="G25" s="37">
        <f>VLOOKUP($B$16:$B$29,'Наименование работ'!B:Q,16,)</f>
        <v>0</v>
      </c>
      <c r="H25" s="36">
        <f>VLOOKUP(B25:B38,'Наименование работ'!B:S,18,)</f>
        <v>0</v>
      </c>
      <c r="I25" s="36">
        <f>VLOOKUP($B$16:$B$29,'Наименование работ'!B:R,17,)</f>
        <v>0</v>
      </c>
      <c r="J25" s="38" t="s">
        <v>340</v>
      </c>
      <c r="K25" s="140">
        <v>0</v>
      </c>
      <c r="L25" s="33">
        <f t="shared" si="9"/>
        <v>0</v>
      </c>
      <c r="M25" s="33">
        <f t="shared" si="7"/>
        <v>0</v>
      </c>
      <c r="N25" s="34">
        <f t="shared" si="10"/>
        <v>0</v>
      </c>
      <c r="O25" s="34">
        <f t="shared" si="4"/>
        <v>0</v>
      </c>
      <c r="P25" s="34">
        <f t="shared" si="11"/>
        <v>0</v>
      </c>
      <c r="Q25" s="25"/>
      <c r="R25" s="25"/>
      <c r="S25" s="25"/>
      <c r="T25" s="25"/>
      <c r="U25" s="20"/>
      <c r="V25" s="17"/>
    </row>
    <row r="26" spans="1:22" ht="24" hidden="1" customHeight="1" x14ac:dyDescent="0.25">
      <c r="A26" s="10"/>
      <c r="B26" s="40" t="s">
        <v>330</v>
      </c>
      <c r="C26" s="37">
        <f>VLOOKUP($B$16:$B$29,'Наименование работ'!B:G,6,)</f>
        <v>0</v>
      </c>
      <c r="D26" s="37">
        <f>VLOOKUP($B$16:$B$29,'Наименование работ'!B:K,10,)</f>
        <v>0</v>
      </c>
      <c r="E26" s="37">
        <f>VLOOKUP($B$16:$B$29,'Наименование работ'!B:M,12,)</f>
        <v>0</v>
      </c>
      <c r="F26" s="37">
        <f>VLOOKUP($B$16:$B$29,'Наименование работ'!B:O,14,)</f>
        <v>0</v>
      </c>
      <c r="G26" s="37">
        <f>VLOOKUP($B$16:$B$29,'Наименование работ'!B:Q,16,)</f>
        <v>0</v>
      </c>
      <c r="H26" s="36">
        <f>VLOOKUP(B26:B39,'Наименование работ'!B:S,18,)</f>
        <v>0</v>
      </c>
      <c r="I26" s="36">
        <f>VLOOKUP($B$16:$B$29,'Наименование работ'!B:R,17,)</f>
        <v>0</v>
      </c>
      <c r="J26" s="38" t="s">
        <v>340</v>
      </c>
      <c r="K26" s="140">
        <v>0</v>
      </c>
      <c r="L26" s="33">
        <f t="shared" si="9"/>
        <v>0</v>
      </c>
      <c r="M26" s="33">
        <f t="shared" si="7"/>
        <v>0</v>
      </c>
      <c r="N26" s="34">
        <f t="shared" si="10"/>
        <v>0</v>
      </c>
      <c r="O26" s="34">
        <f t="shared" si="4"/>
        <v>0</v>
      </c>
      <c r="P26" s="34">
        <f t="shared" si="11"/>
        <v>0</v>
      </c>
      <c r="Q26" s="25"/>
      <c r="R26" s="25"/>
      <c r="S26" s="25"/>
      <c r="T26" s="25"/>
      <c r="U26" s="20"/>
      <c r="V26" s="17"/>
    </row>
    <row r="27" spans="1:22" ht="24" hidden="1" customHeight="1" x14ac:dyDescent="0.25">
      <c r="A27" s="10"/>
      <c r="B27" s="40" t="s">
        <v>330</v>
      </c>
      <c r="C27" s="37">
        <f>VLOOKUP($B$16:$B$29,'Наименование работ'!B:G,6,)</f>
        <v>0</v>
      </c>
      <c r="D27" s="37">
        <f>VLOOKUP($B$16:$B$29,'Наименование работ'!B:K,10,)</f>
        <v>0</v>
      </c>
      <c r="E27" s="37">
        <f>VLOOKUP($B$16:$B$29,'Наименование работ'!B:M,12,)</f>
        <v>0</v>
      </c>
      <c r="F27" s="37">
        <f>VLOOKUP($B$16:$B$29,'Наименование работ'!B:O,14,)</f>
        <v>0</v>
      </c>
      <c r="G27" s="37">
        <f>VLOOKUP($B$16:$B$29,'Наименование работ'!B:Q,16,)</f>
        <v>0</v>
      </c>
      <c r="H27" s="36">
        <f>VLOOKUP(B27:B40,'Наименование работ'!B:S,18,)</f>
        <v>0</v>
      </c>
      <c r="I27" s="36">
        <f>VLOOKUP($B$16:$B$29,'Наименование работ'!B:R,17,)</f>
        <v>0</v>
      </c>
      <c r="J27" s="38" t="s">
        <v>340</v>
      </c>
      <c r="K27" s="140">
        <v>0</v>
      </c>
      <c r="L27" s="33">
        <f t="shared" si="9"/>
        <v>0</v>
      </c>
      <c r="M27" s="33">
        <f t="shared" si="7"/>
        <v>0</v>
      </c>
      <c r="N27" s="34">
        <f t="shared" si="10"/>
        <v>0</v>
      </c>
      <c r="O27" s="34">
        <f t="shared" si="4"/>
        <v>0</v>
      </c>
      <c r="P27" s="34">
        <f t="shared" si="11"/>
        <v>0</v>
      </c>
      <c r="Q27" s="25"/>
      <c r="R27" s="25"/>
      <c r="S27" s="25"/>
      <c r="T27" s="25"/>
      <c r="U27" s="20"/>
      <c r="V27" s="17"/>
    </row>
    <row r="28" spans="1:22" ht="24" hidden="1" customHeight="1" x14ac:dyDescent="0.25">
      <c r="A28" s="10"/>
      <c r="B28" s="40" t="s">
        <v>330</v>
      </c>
      <c r="C28" s="37">
        <f>VLOOKUP($B$16:$B$29,'Наименование работ'!B:G,6,)</f>
        <v>0</v>
      </c>
      <c r="D28" s="37">
        <f>VLOOKUP($B$16:$B$29,'Наименование работ'!B:K,10,)</f>
        <v>0</v>
      </c>
      <c r="E28" s="37">
        <f>VLOOKUP($B$16:$B$29,'Наименование работ'!B:M,12,)</f>
        <v>0</v>
      </c>
      <c r="F28" s="37">
        <f>VLOOKUP($B$16:$B$29,'Наименование работ'!B:O,14,)</f>
        <v>0</v>
      </c>
      <c r="G28" s="37">
        <f>VLOOKUP($B$16:$B$29,'Наименование работ'!B:Q,16,)</f>
        <v>0</v>
      </c>
      <c r="H28" s="36">
        <f>VLOOKUP(B28:B41,'Наименование работ'!B:S,18,)</f>
        <v>0</v>
      </c>
      <c r="I28" s="36">
        <f>VLOOKUP($B$16:$B$29,'Наименование работ'!B:R,17,)</f>
        <v>0</v>
      </c>
      <c r="J28" s="38" t="s">
        <v>340</v>
      </c>
      <c r="K28" s="140">
        <v>0</v>
      </c>
      <c r="L28" s="33">
        <f t="shared" si="9"/>
        <v>0</v>
      </c>
      <c r="M28" s="33">
        <f t="shared" si="7"/>
        <v>0</v>
      </c>
      <c r="N28" s="34">
        <f t="shared" si="10"/>
        <v>0</v>
      </c>
      <c r="O28" s="34">
        <f t="shared" si="4"/>
        <v>0</v>
      </c>
      <c r="P28" s="34">
        <f t="shared" si="11"/>
        <v>0</v>
      </c>
      <c r="Q28" s="25"/>
      <c r="R28" s="25"/>
      <c r="S28" s="25"/>
      <c r="T28" s="25"/>
      <c r="U28" s="20"/>
      <c r="V28" s="17"/>
    </row>
    <row r="29" spans="1:22" ht="24" hidden="1" customHeight="1" x14ac:dyDescent="0.25">
      <c r="A29" s="11"/>
      <c r="B29" s="40" t="s">
        <v>330</v>
      </c>
      <c r="C29" s="37">
        <f>VLOOKUP($B$16:$B$29,'Наименование работ'!B:G,6,)</f>
        <v>0</v>
      </c>
      <c r="D29" s="37">
        <f>VLOOKUP($B$16:$B$29,'Наименование работ'!B:K,10,)</f>
        <v>0</v>
      </c>
      <c r="E29" s="37">
        <f>VLOOKUP($B$16:$B$29,'Наименование работ'!B:M,12,)</f>
        <v>0</v>
      </c>
      <c r="F29" s="37">
        <f>VLOOKUP($B$16:$B$29,'Наименование работ'!B:O,14,)</f>
        <v>0</v>
      </c>
      <c r="G29" s="37">
        <f>VLOOKUP($B$16:$B$29,'Наименование работ'!B:Q,16,)</f>
        <v>0</v>
      </c>
      <c r="H29" s="36">
        <f>VLOOKUP(B29:B42,'Наименование работ'!B:S,18,)</f>
        <v>0</v>
      </c>
      <c r="I29" s="36">
        <f>VLOOKUP($B$16:$B$29,'Наименование работ'!B:R,17,)</f>
        <v>0</v>
      </c>
      <c r="J29" s="38" t="s">
        <v>340</v>
      </c>
      <c r="K29" s="140">
        <v>0</v>
      </c>
      <c r="L29" s="33">
        <f t="shared" si="9"/>
        <v>0</v>
      </c>
      <c r="M29" s="33">
        <f t="shared" si="7"/>
        <v>0</v>
      </c>
      <c r="N29" s="34">
        <f t="shared" si="3"/>
        <v>0</v>
      </c>
      <c r="O29" s="34">
        <f t="shared" si="4"/>
        <v>0</v>
      </c>
      <c r="P29" s="34">
        <f t="shared" ref="P29" si="12">SUM(L29:O29)</f>
        <v>0</v>
      </c>
      <c r="Q29" s="22"/>
      <c r="S29" s="18"/>
      <c r="T29" s="19"/>
      <c r="U29" s="20"/>
      <c r="V29" s="17"/>
    </row>
    <row r="30" spans="1:22" ht="16.5" customHeight="1" x14ac:dyDescent="0.25">
      <c r="A30" s="141"/>
      <c r="B30" s="178" t="s">
        <v>317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  <c r="P30" s="34">
        <f>SUM(M16:M29)</f>
        <v>68199.900000000009</v>
      </c>
    </row>
    <row r="31" spans="1:22" ht="16.5" customHeight="1" x14ac:dyDescent="0.25">
      <c r="A31" s="141"/>
      <c r="B31" s="178" t="s">
        <v>2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  <c r="P31" s="35">
        <f>SUM(N16:N29)</f>
        <v>5479021.2020037016</v>
      </c>
    </row>
    <row r="32" spans="1:22" ht="16.5" customHeight="1" x14ac:dyDescent="0.25">
      <c r="A32" s="141"/>
      <c r="B32" s="178" t="s">
        <v>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80"/>
      <c r="P32" s="35">
        <f>SUM(O16:O29)</f>
        <v>0</v>
      </c>
    </row>
    <row r="33" spans="1:21" ht="16.5" customHeight="1" x14ac:dyDescent="0.25">
      <c r="A33" s="141"/>
      <c r="B33" s="178" t="s">
        <v>346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5">
        <f>SUM(L16:L29)</f>
        <v>219160.84808014805</v>
      </c>
      <c r="Q33" s="32"/>
      <c r="R33" s="32"/>
    </row>
    <row r="34" spans="1:21" ht="16.5" customHeight="1" x14ac:dyDescent="0.25">
      <c r="A34" s="141"/>
      <c r="B34" s="192" t="s">
        <v>12</v>
      </c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4"/>
      <c r="P34" s="34">
        <f>SUM(P30:P33)</f>
        <v>5766381.95008385</v>
      </c>
    </row>
    <row r="35" spans="1:21" ht="7.5" customHeight="1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30"/>
      <c r="K35" s="142"/>
      <c r="L35" s="142"/>
      <c r="M35" s="142"/>
      <c r="N35" s="143"/>
      <c r="O35" s="143"/>
      <c r="P35" s="3"/>
    </row>
    <row r="36" spans="1:21" ht="20.25" customHeight="1" x14ac:dyDescent="0.25">
      <c r="A36" s="12" t="s">
        <v>332</v>
      </c>
      <c r="B36" s="3"/>
      <c r="C36" s="3"/>
      <c r="D36" s="3"/>
      <c r="E36" s="3"/>
      <c r="F36" s="3"/>
      <c r="G36" s="3"/>
      <c r="H36" s="3"/>
      <c r="I36" s="3"/>
      <c r="J36" s="3"/>
      <c r="K36" s="144"/>
      <c r="L36" s="144"/>
      <c r="M36" s="144"/>
      <c r="N36" s="3"/>
      <c r="O36" s="3"/>
      <c r="P36" s="3"/>
    </row>
    <row r="37" spans="1:21" ht="9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144"/>
      <c r="L37" s="144"/>
      <c r="M37" s="144"/>
      <c r="N37" s="3"/>
      <c r="O37" s="3"/>
      <c r="P37" s="3"/>
    </row>
    <row r="38" spans="1:21" ht="42.75" customHeight="1" x14ac:dyDescent="0.25">
      <c r="A38" s="136" t="s">
        <v>6</v>
      </c>
      <c r="B38" s="188" t="s">
        <v>0</v>
      </c>
      <c r="C38" s="188"/>
      <c r="D38" s="188"/>
      <c r="E38" s="188"/>
      <c r="F38" s="195" t="s">
        <v>337</v>
      </c>
      <c r="G38" s="195"/>
      <c r="H38" s="196"/>
      <c r="I38" s="199" t="s">
        <v>354</v>
      </c>
      <c r="J38" s="200"/>
      <c r="K38" s="189" t="s">
        <v>338</v>
      </c>
      <c r="L38" s="189"/>
      <c r="M38" s="189" t="s">
        <v>339</v>
      </c>
      <c r="N38" s="189"/>
      <c r="O38" s="163"/>
      <c r="P38" s="163"/>
      <c r="Q38" s="145"/>
      <c r="R38" s="145"/>
      <c r="S38" s="22"/>
      <c r="T38" s="22"/>
      <c r="U38" s="22"/>
    </row>
    <row r="39" spans="1:21" ht="16.5" customHeight="1" x14ac:dyDescent="0.25">
      <c r="A39" s="23">
        <v>1</v>
      </c>
      <c r="B39" s="166" t="s">
        <v>319</v>
      </c>
      <c r="C39" s="166"/>
      <c r="D39" s="166"/>
      <c r="E39" s="166"/>
      <c r="F39" s="197">
        <f>P33+P30</f>
        <v>287360.74808014807</v>
      </c>
      <c r="G39" s="197"/>
      <c r="H39" s="198"/>
      <c r="I39" s="201">
        <f>VLOOKUP(H9,O39:P46,2,)</f>
        <v>1.06968874824043</v>
      </c>
      <c r="J39" s="202"/>
      <c r="K39" s="183">
        <f>F39*$I$39</f>
        <v>307386.55890728714</v>
      </c>
      <c r="L39" s="183"/>
      <c r="M39" s="183">
        <f>K39*1.2</f>
        <v>368863.87068874453</v>
      </c>
      <c r="N39" s="183"/>
      <c r="O39" s="156" t="s">
        <v>74</v>
      </c>
      <c r="P39" s="157">
        <v>1.147</v>
      </c>
      <c r="Q39" s="146"/>
      <c r="R39" s="146"/>
      <c r="S39" s="22"/>
      <c r="T39" s="22"/>
      <c r="U39" s="22"/>
    </row>
    <row r="40" spans="1:21" ht="16.5" customHeight="1" x14ac:dyDescent="0.25">
      <c r="A40" s="23">
        <v>2</v>
      </c>
      <c r="B40" s="166" t="s">
        <v>2</v>
      </c>
      <c r="C40" s="166"/>
      <c r="D40" s="166"/>
      <c r="E40" s="166"/>
      <c r="F40" s="181">
        <f>P31</f>
        <v>5479021.2020037016</v>
      </c>
      <c r="G40" s="181"/>
      <c r="H40" s="182"/>
      <c r="I40" s="203"/>
      <c r="J40" s="204"/>
      <c r="K40" s="183">
        <f t="shared" ref="K40:K41" si="13">F40*$I$39</f>
        <v>5860847.3311541155</v>
      </c>
      <c r="L40" s="183"/>
      <c r="M40" s="183">
        <f>K40*1.2</f>
        <v>7033016.7973849382</v>
      </c>
      <c r="N40" s="183"/>
      <c r="O40" s="156" t="s">
        <v>75</v>
      </c>
      <c r="P40" s="157">
        <v>1.06968874824043</v>
      </c>
      <c r="Q40" s="146"/>
      <c r="R40" s="146"/>
      <c r="S40" s="22"/>
      <c r="T40" s="22"/>
      <c r="U40" s="22"/>
    </row>
    <row r="41" spans="1:21" ht="16.5" customHeight="1" x14ac:dyDescent="0.25">
      <c r="A41" s="23">
        <v>3</v>
      </c>
      <c r="B41" s="166" t="s">
        <v>3</v>
      </c>
      <c r="C41" s="166"/>
      <c r="D41" s="166"/>
      <c r="E41" s="166"/>
      <c r="F41" s="181">
        <f>P32</f>
        <v>0</v>
      </c>
      <c r="G41" s="181"/>
      <c r="H41" s="182"/>
      <c r="I41" s="203"/>
      <c r="J41" s="204"/>
      <c r="K41" s="183">
        <f t="shared" si="13"/>
        <v>0</v>
      </c>
      <c r="L41" s="183"/>
      <c r="M41" s="184">
        <f t="shared" ref="M41" si="14">K41*1.2</f>
        <v>0</v>
      </c>
      <c r="N41" s="184"/>
      <c r="O41" s="156" t="s">
        <v>76</v>
      </c>
      <c r="P41" s="157">
        <v>1.0527260918901</v>
      </c>
      <c r="Q41" s="146"/>
      <c r="R41" s="146"/>
      <c r="S41" s="22"/>
      <c r="T41" s="22"/>
      <c r="U41" s="22"/>
    </row>
    <row r="42" spans="1:21" ht="16.5" customHeight="1" x14ac:dyDescent="0.25">
      <c r="A42" s="23">
        <v>4</v>
      </c>
      <c r="B42" s="166" t="s">
        <v>4</v>
      </c>
      <c r="C42" s="166"/>
      <c r="D42" s="166"/>
      <c r="E42" s="166"/>
      <c r="F42" s="181"/>
      <c r="G42" s="181"/>
      <c r="H42" s="182"/>
      <c r="I42" s="203"/>
      <c r="J42" s="204"/>
      <c r="K42" s="167">
        <f>SUM(F43:H45)*$I$39</f>
        <v>1266955.2410186122</v>
      </c>
      <c r="L42" s="168"/>
      <c r="M42" s="167">
        <f>K42*1.2</f>
        <v>1520346.2892223345</v>
      </c>
      <c r="N42" s="168"/>
      <c r="O42" s="156" t="s">
        <v>77</v>
      </c>
      <c r="P42" s="157">
        <v>1.04761984318213</v>
      </c>
      <c r="Q42" s="154"/>
      <c r="R42" s="146"/>
      <c r="S42" s="22"/>
      <c r="T42" s="22"/>
      <c r="U42" s="22"/>
    </row>
    <row r="43" spans="1:21" ht="15.75" customHeight="1" x14ac:dyDescent="0.25">
      <c r="A43" s="137" t="s">
        <v>78</v>
      </c>
      <c r="B43" s="173" t="s">
        <v>356</v>
      </c>
      <c r="C43" s="173"/>
      <c r="D43" s="173"/>
      <c r="E43" s="173"/>
      <c r="F43" s="171">
        <f>SUM(F39:H41)/100*P49</f>
        <v>123400.5737317944</v>
      </c>
      <c r="G43" s="171"/>
      <c r="H43" s="172"/>
      <c r="I43" s="203"/>
      <c r="J43" s="204"/>
      <c r="K43" s="169"/>
      <c r="L43" s="170"/>
      <c r="M43" s="169"/>
      <c r="N43" s="170"/>
      <c r="O43" s="158" t="s">
        <v>359</v>
      </c>
      <c r="P43" s="157">
        <f>1.0457995653007*P42</f>
        <v>1.0956003766002589</v>
      </c>
      <c r="Q43" s="154"/>
      <c r="R43" s="151"/>
      <c r="S43" s="22"/>
      <c r="T43" s="22"/>
      <c r="U43" s="22"/>
    </row>
    <row r="44" spans="1:21" ht="15.75" customHeight="1" x14ac:dyDescent="0.25">
      <c r="A44" s="137" t="s">
        <v>79</v>
      </c>
      <c r="B44" s="173" t="s">
        <v>358</v>
      </c>
      <c r="C44" s="173"/>
      <c r="D44" s="173"/>
      <c r="E44" s="173"/>
      <c r="F44" s="171">
        <f>SUM(F39:H41)/100*P50</f>
        <v>674666.68815981038</v>
      </c>
      <c r="G44" s="171"/>
      <c r="H44" s="172"/>
      <c r="I44" s="203"/>
      <c r="J44" s="204"/>
      <c r="K44" s="169"/>
      <c r="L44" s="170"/>
      <c r="M44" s="169"/>
      <c r="N44" s="170"/>
      <c r="O44" s="158" t="s">
        <v>360</v>
      </c>
      <c r="P44" s="157">
        <f>1.0457995653007*P43</f>
        <v>1.1457783975918339</v>
      </c>
      <c r="Q44" s="154"/>
      <c r="R44" s="151"/>
      <c r="S44" s="22"/>
      <c r="T44" s="22"/>
      <c r="U44" s="22"/>
    </row>
    <row r="45" spans="1:21" ht="15.75" customHeight="1" x14ac:dyDescent="0.25">
      <c r="A45" s="137" t="s">
        <v>80</v>
      </c>
      <c r="B45" s="174" t="s">
        <v>357</v>
      </c>
      <c r="C45" s="174"/>
      <c r="D45" s="174"/>
      <c r="E45" s="174"/>
      <c r="F45" s="171">
        <f>SUM(F39:H41)/100*P51</f>
        <v>386347.59065561794</v>
      </c>
      <c r="G45" s="171"/>
      <c r="H45" s="172"/>
      <c r="I45" s="203"/>
      <c r="J45" s="204"/>
      <c r="K45" s="169"/>
      <c r="L45" s="170"/>
      <c r="M45" s="169"/>
      <c r="N45" s="170"/>
      <c r="O45" s="158" t="s">
        <v>361</v>
      </c>
      <c r="P45" s="157">
        <f>1.0457995653007*P44</f>
        <v>1.1982545501324724</v>
      </c>
      <c r="Q45" s="154"/>
      <c r="R45" s="151"/>
      <c r="S45" s="22"/>
      <c r="T45" s="22"/>
      <c r="U45" s="22"/>
    </row>
    <row r="46" spans="1:21" ht="14.25" customHeight="1" x14ac:dyDescent="0.25">
      <c r="A46" s="175" t="s">
        <v>81</v>
      </c>
      <c r="B46" s="175"/>
      <c r="C46" s="175"/>
      <c r="D46" s="175"/>
      <c r="E46" s="175"/>
      <c r="F46" s="165">
        <f>SUM(F39:H45)</f>
        <v>6950796.8026310727</v>
      </c>
      <c r="G46" s="165"/>
      <c r="H46" s="165"/>
      <c r="I46" s="165"/>
      <c r="J46" s="165"/>
      <c r="K46" s="164">
        <f>SUM(K39:L45)</f>
        <v>7435189.1310800146</v>
      </c>
      <c r="L46" s="164"/>
      <c r="M46" s="164">
        <f>SUM(M39:N45)</f>
        <v>8922226.9572960176</v>
      </c>
      <c r="N46" s="164"/>
      <c r="O46" s="158" t="s">
        <v>362</v>
      </c>
      <c r="P46" s="157">
        <f>1.0457995653007*P45</f>
        <v>1.2531340876481254</v>
      </c>
      <c r="Q46" s="154"/>
      <c r="R46" s="152"/>
      <c r="S46" s="46"/>
      <c r="T46" s="47"/>
      <c r="U46" s="22"/>
    </row>
    <row r="47" spans="1:21" ht="14.25" customHeight="1" x14ac:dyDescent="0.25">
      <c r="A47" s="48"/>
      <c r="B47" s="48"/>
      <c r="C47" s="48"/>
      <c r="D47" s="48"/>
      <c r="E47" s="48"/>
      <c r="F47" s="49"/>
      <c r="G47" s="50"/>
      <c r="H47" s="50"/>
      <c r="I47" s="50"/>
      <c r="J47" s="50"/>
      <c r="K47" s="51"/>
      <c r="L47" s="51"/>
      <c r="M47" s="51"/>
      <c r="N47" s="51"/>
      <c r="O47" s="158"/>
      <c r="P47" s="159"/>
      <c r="Q47" s="147"/>
      <c r="R47" s="45"/>
      <c r="S47" s="46"/>
      <c r="T47" s="47"/>
      <c r="U47" s="22"/>
    </row>
    <row r="48" spans="1:21" s="26" customFormat="1" ht="14.25" customHeight="1" x14ac:dyDescent="0.25">
      <c r="A48" s="60" t="s">
        <v>13</v>
      </c>
      <c r="B48" s="60"/>
      <c r="C48" s="61"/>
      <c r="D48" s="61"/>
      <c r="E48" s="61"/>
      <c r="F48" s="61"/>
      <c r="G48" s="61"/>
      <c r="H48" s="62"/>
      <c r="I48" s="62"/>
      <c r="J48" s="62"/>
      <c r="K48" s="63"/>
      <c r="L48" s="63"/>
      <c r="M48" s="63"/>
      <c r="N48" s="63"/>
      <c r="O48" s="158"/>
      <c r="P48" s="160"/>
      <c r="Q48" s="148"/>
      <c r="R48" s="55"/>
      <c r="S48" s="46"/>
      <c r="T48" s="47"/>
      <c r="U48" s="56"/>
    </row>
    <row r="49" spans="1:21" s="26" customFormat="1" ht="39.75" customHeight="1" x14ac:dyDescent="0.25">
      <c r="A49" s="64"/>
      <c r="B49" s="177" t="s">
        <v>342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58"/>
      <c r="P49" s="161">
        <v>2.14</v>
      </c>
      <c r="Q49" s="148"/>
      <c r="R49" s="55"/>
      <c r="S49" s="46"/>
      <c r="T49" s="47"/>
      <c r="U49" s="56"/>
    </row>
    <row r="50" spans="1:21" s="26" customFormat="1" ht="28.5" customHeight="1" x14ac:dyDescent="0.25">
      <c r="A50" s="64"/>
      <c r="B50" s="177" t="s">
        <v>345</v>
      </c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58"/>
      <c r="P50" s="161">
        <v>11.7</v>
      </c>
      <c r="Q50" s="54"/>
      <c r="R50" s="55"/>
      <c r="S50" s="46"/>
      <c r="T50" s="47"/>
      <c r="U50" s="56"/>
    </row>
    <row r="51" spans="1:21" s="26" customFormat="1" ht="17.25" customHeight="1" x14ac:dyDescent="0.25">
      <c r="A51" s="64"/>
      <c r="B51" s="176" t="s">
        <v>343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58"/>
      <c r="P51" s="162">
        <v>6.7</v>
      </c>
      <c r="Q51" s="54"/>
      <c r="R51" s="55"/>
      <c r="S51" s="46"/>
      <c r="T51" s="47"/>
      <c r="U51" s="56"/>
    </row>
    <row r="52" spans="1:21" s="26" customFormat="1" ht="17.25" customHeight="1" x14ac:dyDescent="0.25">
      <c r="A52" s="65"/>
      <c r="B52" s="176" t="s">
        <v>344</v>
      </c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53"/>
      <c r="P52" s="53"/>
      <c r="Q52" s="54"/>
      <c r="R52" s="55"/>
      <c r="S52" s="46"/>
      <c r="T52" s="47"/>
      <c r="U52" s="56"/>
    </row>
    <row r="53" spans="1:21" s="26" customFormat="1" ht="17.25" customHeight="1" x14ac:dyDescent="0.25">
      <c r="A53" s="57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52"/>
      <c r="P53" s="53"/>
      <c r="Q53" s="54"/>
      <c r="R53" s="55"/>
      <c r="S53" s="46"/>
      <c r="T53" s="47"/>
      <c r="U53" s="56"/>
    </row>
    <row r="54" spans="1:21" s="26" customFormat="1" x14ac:dyDescent="0.25">
      <c r="A54" s="58"/>
      <c r="B54" s="59"/>
      <c r="C54" s="59"/>
      <c r="D54" s="59"/>
      <c r="E54" s="59"/>
      <c r="F54" s="59"/>
      <c r="G54" s="59"/>
      <c r="H54" s="59"/>
      <c r="I54" s="59"/>
    </row>
  </sheetData>
  <dataConsolidate>
    <dataRefs count="1">
      <dataRef ref="B8:B287" sheet="Наименование работ"/>
    </dataRefs>
  </dataConsolidate>
  <mergeCells count="56">
    <mergeCell ref="C15:P15"/>
    <mergeCell ref="B34:O34"/>
    <mergeCell ref="K38:L38"/>
    <mergeCell ref="K39:L39"/>
    <mergeCell ref="K40:L40"/>
    <mergeCell ref="B38:E38"/>
    <mergeCell ref="B39:E39"/>
    <mergeCell ref="B40:E40"/>
    <mergeCell ref="F38:H38"/>
    <mergeCell ref="F39:H39"/>
    <mergeCell ref="F40:H40"/>
    <mergeCell ref="I38:J38"/>
    <mergeCell ref="I39:J45"/>
    <mergeCell ref="F42:H42"/>
    <mergeCell ref="B30:O30"/>
    <mergeCell ref="M38:N38"/>
    <mergeCell ref="P13:P14"/>
    <mergeCell ref="A5:M5"/>
    <mergeCell ref="A13:A14"/>
    <mergeCell ref="B13:B14"/>
    <mergeCell ref="J13:J14"/>
    <mergeCell ref="K13:K14"/>
    <mergeCell ref="H9:K9"/>
    <mergeCell ref="C13:C14"/>
    <mergeCell ref="H13:H14"/>
    <mergeCell ref="I13:I14"/>
    <mergeCell ref="D13:G13"/>
    <mergeCell ref="H7:P7"/>
    <mergeCell ref="B31:O31"/>
    <mergeCell ref="B32:O32"/>
    <mergeCell ref="B33:O33"/>
    <mergeCell ref="F41:H41"/>
    <mergeCell ref="B41:E41"/>
    <mergeCell ref="K41:L41"/>
    <mergeCell ref="M39:N39"/>
    <mergeCell ref="M40:N40"/>
    <mergeCell ref="M41:N41"/>
    <mergeCell ref="B53:N53"/>
    <mergeCell ref="B51:N51"/>
    <mergeCell ref="B52:N52"/>
    <mergeCell ref="B49:N49"/>
    <mergeCell ref="B50:N50"/>
    <mergeCell ref="M46:N46"/>
    <mergeCell ref="I46:J46"/>
    <mergeCell ref="B42:E42"/>
    <mergeCell ref="K42:L45"/>
    <mergeCell ref="F43:H43"/>
    <mergeCell ref="F44:H44"/>
    <mergeCell ref="F45:H45"/>
    <mergeCell ref="K46:L46"/>
    <mergeCell ref="B43:E43"/>
    <mergeCell ref="B44:E44"/>
    <mergeCell ref="B45:E45"/>
    <mergeCell ref="M42:N45"/>
    <mergeCell ref="A46:E46"/>
    <mergeCell ref="F46:H4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3"/>
  <sheetViews>
    <sheetView view="pageBreakPreview" zoomScaleNormal="100" zoomScaleSheetLayoutView="100" workbookViewId="0">
      <pane ySplit="1" topLeftCell="A263" activePane="bottomLeft" state="frozen"/>
      <selection pane="bottomLeft" activeCell="G281" sqref="G281"/>
    </sheetView>
  </sheetViews>
  <sheetFormatPr defaultColWidth="9.5703125" defaultRowHeight="15" x14ac:dyDescent="0.25"/>
  <cols>
    <col min="1" max="1" width="4" style="125" customWidth="1"/>
    <col min="2" max="2" width="40.28515625" style="126" customWidth="1"/>
    <col min="3" max="3" width="14.42578125" style="125" hidden="1" customWidth="1"/>
    <col min="4" max="4" width="13.28515625" style="125" hidden="1" customWidth="1"/>
    <col min="5" max="5" width="14.5703125" style="125" hidden="1" customWidth="1"/>
    <col min="6" max="6" width="13.7109375" style="125" hidden="1" customWidth="1"/>
    <col min="7" max="7" width="13.85546875" style="125" customWidth="1"/>
    <col min="8" max="8" width="15" style="125" hidden="1" customWidth="1"/>
    <col min="9" max="9" width="14.42578125" style="125" customWidth="1"/>
    <col min="10" max="10" width="12.28515625" style="125" hidden="1" customWidth="1"/>
    <col min="11" max="11" width="8.5703125" style="125" hidden="1" customWidth="1"/>
    <col min="12" max="12" width="17" style="125" hidden="1" customWidth="1"/>
    <col min="13" max="13" width="6.28515625" style="125" hidden="1" customWidth="1"/>
    <col min="14" max="14" width="14.28515625" style="125" hidden="1" customWidth="1"/>
    <col min="15" max="15" width="6" style="125" hidden="1" customWidth="1"/>
    <col min="16" max="16" width="14.140625" style="125" hidden="1" customWidth="1"/>
    <col min="17" max="17" width="6.42578125" style="125" hidden="1" customWidth="1"/>
    <col min="18" max="18" width="15.7109375" style="125" hidden="1" customWidth="1"/>
    <col min="19" max="19" width="13.7109375" style="44" customWidth="1"/>
    <col min="20" max="20" width="41.7109375" customWidth="1"/>
    <col min="256" max="256" width="3.7109375" customWidth="1"/>
    <col min="257" max="257" width="70" customWidth="1"/>
    <col min="258" max="258" width="13.7109375" bestFit="1" customWidth="1"/>
    <col min="259" max="259" width="12.5703125" bestFit="1" customWidth="1"/>
    <col min="260" max="260" width="14.42578125" customWidth="1"/>
    <col min="512" max="512" width="3.7109375" customWidth="1"/>
    <col min="513" max="513" width="70" customWidth="1"/>
    <col min="514" max="514" width="13.7109375" bestFit="1" customWidth="1"/>
    <col min="515" max="515" width="12.5703125" bestFit="1" customWidth="1"/>
    <col min="516" max="516" width="14.42578125" customWidth="1"/>
    <col min="768" max="768" width="3.7109375" customWidth="1"/>
    <col min="769" max="769" width="70" customWidth="1"/>
    <col min="770" max="770" width="13.7109375" bestFit="1" customWidth="1"/>
    <col min="771" max="771" width="12.5703125" bestFit="1" customWidth="1"/>
    <col min="772" max="772" width="14.42578125" customWidth="1"/>
    <col min="1024" max="1024" width="3.7109375" customWidth="1"/>
    <col min="1025" max="1025" width="70" customWidth="1"/>
    <col min="1026" max="1026" width="13.7109375" bestFit="1" customWidth="1"/>
    <col min="1027" max="1027" width="12.5703125" bestFit="1" customWidth="1"/>
    <col min="1028" max="1028" width="14.42578125" customWidth="1"/>
    <col min="1280" max="1280" width="3.7109375" customWidth="1"/>
    <col min="1281" max="1281" width="70" customWidth="1"/>
    <col min="1282" max="1282" width="13.7109375" bestFit="1" customWidth="1"/>
    <col min="1283" max="1283" width="12.5703125" bestFit="1" customWidth="1"/>
    <col min="1284" max="1284" width="14.42578125" customWidth="1"/>
    <col min="1536" max="1536" width="3.7109375" customWidth="1"/>
    <col min="1537" max="1537" width="70" customWidth="1"/>
    <col min="1538" max="1538" width="13.7109375" bestFit="1" customWidth="1"/>
    <col min="1539" max="1539" width="12.5703125" bestFit="1" customWidth="1"/>
    <col min="1540" max="1540" width="14.42578125" customWidth="1"/>
    <col min="1792" max="1792" width="3.7109375" customWidth="1"/>
    <col min="1793" max="1793" width="70" customWidth="1"/>
    <col min="1794" max="1794" width="13.7109375" bestFit="1" customWidth="1"/>
    <col min="1795" max="1795" width="12.5703125" bestFit="1" customWidth="1"/>
    <col min="1796" max="1796" width="14.42578125" customWidth="1"/>
    <col min="2048" max="2048" width="3.7109375" customWidth="1"/>
    <col min="2049" max="2049" width="70" customWidth="1"/>
    <col min="2050" max="2050" width="13.7109375" bestFit="1" customWidth="1"/>
    <col min="2051" max="2051" width="12.5703125" bestFit="1" customWidth="1"/>
    <col min="2052" max="2052" width="14.42578125" customWidth="1"/>
    <col min="2304" max="2304" width="3.7109375" customWidth="1"/>
    <col min="2305" max="2305" width="70" customWidth="1"/>
    <col min="2306" max="2306" width="13.7109375" bestFit="1" customWidth="1"/>
    <col min="2307" max="2307" width="12.5703125" bestFit="1" customWidth="1"/>
    <col min="2308" max="2308" width="14.42578125" customWidth="1"/>
    <col min="2560" max="2560" width="3.7109375" customWidth="1"/>
    <col min="2561" max="2561" width="70" customWidth="1"/>
    <col min="2562" max="2562" width="13.7109375" bestFit="1" customWidth="1"/>
    <col min="2563" max="2563" width="12.5703125" bestFit="1" customWidth="1"/>
    <col min="2564" max="2564" width="14.42578125" customWidth="1"/>
    <col min="2816" max="2816" width="3.7109375" customWidth="1"/>
    <col min="2817" max="2817" width="70" customWidth="1"/>
    <col min="2818" max="2818" width="13.7109375" bestFit="1" customWidth="1"/>
    <col min="2819" max="2819" width="12.5703125" bestFit="1" customWidth="1"/>
    <col min="2820" max="2820" width="14.42578125" customWidth="1"/>
    <col min="3072" max="3072" width="3.7109375" customWidth="1"/>
    <col min="3073" max="3073" width="70" customWidth="1"/>
    <col min="3074" max="3074" width="13.7109375" bestFit="1" customWidth="1"/>
    <col min="3075" max="3075" width="12.5703125" bestFit="1" customWidth="1"/>
    <col min="3076" max="3076" width="14.42578125" customWidth="1"/>
    <col min="3328" max="3328" width="3.7109375" customWidth="1"/>
    <col min="3329" max="3329" width="70" customWidth="1"/>
    <col min="3330" max="3330" width="13.7109375" bestFit="1" customWidth="1"/>
    <col min="3331" max="3331" width="12.5703125" bestFit="1" customWidth="1"/>
    <col min="3332" max="3332" width="14.42578125" customWidth="1"/>
    <col min="3584" max="3584" width="3.7109375" customWidth="1"/>
    <col min="3585" max="3585" width="70" customWidth="1"/>
    <col min="3586" max="3586" width="13.7109375" bestFit="1" customWidth="1"/>
    <col min="3587" max="3587" width="12.5703125" bestFit="1" customWidth="1"/>
    <col min="3588" max="3588" width="14.42578125" customWidth="1"/>
    <col min="3840" max="3840" width="3.7109375" customWidth="1"/>
    <col min="3841" max="3841" width="70" customWidth="1"/>
    <col min="3842" max="3842" width="13.7109375" bestFit="1" customWidth="1"/>
    <col min="3843" max="3843" width="12.5703125" bestFit="1" customWidth="1"/>
    <col min="3844" max="3844" width="14.42578125" customWidth="1"/>
    <col min="4096" max="4096" width="3.7109375" customWidth="1"/>
    <col min="4097" max="4097" width="70" customWidth="1"/>
    <col min="4098" max="4098" width="13.7109375" bestFit="1" customWidth="1"/>
    <col min="4099" max="4099" width="12.5703125" bestFit="1" customWidth="1"/>
    <col min="4100" max="4100" width="14.42578125" customWidth="1"/>
    <col min="4352" max="4352" width="3.7109375" customWidth="1"/>
    <col min="4353" max="4353" width="70" customWidth="1"/>
    <col min="4354" max="4354" width="13.7109375" bestFit="1" customWidth="1"/>
    <col min="4355" max="4355" width="12.5703125" bestFit="1" customWidth="1"/>
    <col min="4356" max="4356" width="14.42578125" customWidth="1"/>
    <col min="4608" max="4608" width="3.7109375" customWidth="1"/>
    <col min="4609" max="4609" width="70" customWidth="1"/>
    <col min="4610" max="4610" width="13.7109375" bestFit="1" customWidth="1"/>
    <col min="4611" max="4611" width="12.5703125" bestFit="1" customWidth="1"/>
    <col min="4612" max="4612" width="14.42578125" customWidth="1"/>
    <col min="4864" max="4864" width="3.7109375" customWidth="1"/>
    <col min="4865" max="4865" width="70" customWidth="1"/>
    <col min="4866" max="4866" width="13.7109375" bestFit="1" customWidth="1"/>
    <col min="4867" max="4867" width="12.5703125" bestFit="1" customWidth="1"/>
    <col min="4868" max="4868" width="14.42578125" customWidth="1"/>
    <col min="5120" max="5120" width="3.7109375" customWidth="1"/>
    <col min="5121" max="5121" width="70" customWidth="1"/>
    <col min="5122" max="5122" width="13.7109375" bestFit="1" customWidth="1"/>
    <col min="5123" max="5123" width="12.5703125" bestFit="1" customWidth="1"/>
    <col min="5124" max="5124" width="14.42578125" customWidth="1"/>
    <col min="5376" max="5376" width="3.7109375" customWidth="1"/>
    <col min="5377" max="5377" width="70" customWidth="1"/>
    <col min="5378" max="5378" width="13.7109375" bestFit="1" customWidth="1"/>
    <col min="5379" max="5379" width="12.5703125" bestFit="1" customWidth="1"/>
    <col min="5380" max="5380" width="14.42578125" customWidth="1"/>
    <col min="5632" max="5632" width="3.7109375" customWidth="1"/>
    <col min="5633" max="5633" width="70" customWidth="1"/>
    <col min="5634" max="5634" width="13.7109375" bestFit="1" customWidth="1"/>
    <col min="5635" max="5635" width="12.5703125" bestFit="1" customWidth="1"/>
    <col min="5636" max="5636" width="14.42578125" customWidth="1"/>
    <col min="5888" max="5888" width="3.7109375" customWidth="1"/>
    <col min="5889" max="5889" width="70" customWidth="1"/>
    <col min="5890" max="5890" width="13.7109375" bestFit="1" customWidth="1"/>
    <col min="5891" max="5891" width="12.5703125" bestFit="1" customWidth="1"/>
    <col min="5892" max="5892" width="14.42578125" customWidth="1"/>
    <col min="6144" max="6144" width="3.7109375" customWidth="1"/>
    <col min="6145" max="6145" width="70" customWidth="1"/>
    <col min="6146" max="6146" width="13.7109375" bestFit="1" customWidth="1"/>
    <col min="6147" max="6147" width="12.5703125" bestFit="1" customWidth="1"/>
    <col min="6148" max="6148" width="14.42578125" customWidth="1"/>
    <col min="6400" max="6400" width="3.7109375" customWidth="1"/>
    <col min="6401" max="6401" width="70" customWidth="1"/>
    <col min="6402" max="6402" width="13.7109375" bestFit="1" customWidth="1"/>
    <col min="6403" max="6403" width="12.5703125" bestFit="1" customWidth="1"/>
    <col min="6404" max="6404" width="14.42578125" customWidth="1"/>
    <col min="6656" max="6656" width="3.7109375" customWidth="1"/>
    <col min="6657" max="6657" width="70" customWidth="1"/>
    <col min="6658" max="6658" width="13.7109375" bestFit="1" customWidth="1"/>
    <col min="6659" max="6659" width="12.5703125" bestFit="1" customWidth="1"/>
    <col min="6660" max="6660" width="14.42578125" customWidth="1"/>
    <col min="6912" max="6912" width="3.7109375" customWidth="1"/>
    <col min="6913" max="6913" width="70" customWidth="1"/>
    <col min="6914" max="6914" width="13.7109375" bestFit="1" customWidth="1"/>
    <col min="6915" max="6915" width="12.5703125" bestFit="1" customWidth="1"/>
    <col min="6916" max="6916" width="14.42578125" customWidth="1"/>
    <col min="7168" max="7168" width="3.7109375" customWidth="1"/>
    <col min="7169" max="7169" width="70" customWidth="1"/>
    <col min="7170" max="7170" width="13.7109375" bestFit="1" customWidth="1"/>
    <col min="7171" max="7171" width="12.5703125" bestFit="1" customWidth="1"/>
    <col min="7172" max="7172" width="14.42578125" customWidth="1"/>
    <col min="7424" max="7424" width="3.7109375" customWidth="1"/>
    <col min="7425" max="7425" width="70" customWidth="1"/>
    <col min="7426" max="7426" width="13.7109375" bestFit="1" customWidth="1"/>
    <col min="7427" max="7427" width="12.5703125" bestFit="1" customWidth="1"/>
    <col min="7428" max="7428" width="14.42578125" customWidth="1"/>
    <col min="7680" max="7680" width="3.7109375" customWidth="1"/>
    <col min="7681" max="7681" width="70" customWidth="1"/>
    <col min="7682" max="7682" width="13.7109375" bestFit="1" customWidth="1"/>
    <col min="7683" max="7683" width="12.5703125" bestFit="1" customWidth="1"/>
    <col min="7684" max="7684" width="14.42578125" customWidth="1"/>
    <col min="7936" max="7936" width="3.7109375" customWidth="1"/>
    <col min="7937" max="7937" width="70" customWidth="1"/>
    <col min="7938" max="7938" width="13.7109375" bestFit="1" customWidth="1"/>
    <col min="7939" max="7939" width="12.5703125" bestFit="1" customWidth="1"/>
    <col min="7940" max="7940" width="14.42578125" customWidth="1"/>
    <col min="8192" max="8192" width="3.7109375" customWidth="1"/>
    <col min="8193" max="8193" width="70" customWidth="1"/>
    <col min="8194" max="8194" width="13.7109375" bestFit="1" customWidth="1"/>
    <col min="8195" max="8195" width="12.5703125" bestFit="1" customWidth="1"/>
    <col min="8196" max="8196" width="14.42578125" customWidth="1"/>
    <col min="8448" max="8448" width="3.7109375" customWidth="1"/>
    <col min="8449" max="8449" width="70" customWidth="1"/>
    <col min="8450" max="8450" width="13.7109375" bestFit="1" customWidth="1"/>
    <col min="8451" max="8451" width="12.5703125" bestFit="1" customWidth="1"/>
    <col min="8452" max="8452" width="14.42578125" customWidth="1"/>
    <col min="8704" max="8704" width="3.7109375" customWidth="1"/>
    <col min="8705" max="8705" width="70" customWidth="1"/>
    <col min="8706" max="8706" width="13.7109375" bestFit="1" customWidth="1"/>
    <col min="8707" max="8707" width="12.5703125" bestFit="1" customWidth="1"/>
    <col min="8708" max="8708" width="14.42578125" customWidth="1"/>
    <col min="8960" max="8960" width="3.7109375" customWidth="1"/>
    <col min="8961" max="8961" width="70" customWidth="1"/>
    <col min="8962" max="8962" width="13.7109375" bestFit="1" customWidth="1"/>
    <col min="8963" max="8963" width="12.5703125" bestFit="1" customWidth="1"/>
    <col min="8964" max="8964" width="14.42578125" customWidth="1"/>
    <col min="9216" max="9216" width="3.7109375" customWidth="1"/>
    <col min="9217" max="9217" width="70" customWidth="1"/>
    <col min="9218" max="9218" width="13.7109375" bestFit="1" customWidth="1"/>
    <col min="9219" max="9219" width="12.5703125" bestFit="1" customWidth="1"/>
    <col min="9220" max="9220" width="14.42578125" customWidth="1"/>
    <col min="9472" max="9472" width="3.7109375" customWidth="1"/>
    <col min="9473" max="9473" width="70" customWidth="1"/>
    <col min="9474" max="9474" width="13.7109375" bestFit="1" customWidth="1"/>
    <col min="9475" max="9475" width="12.5703125" bestFit="1" customWidth="1"/>
    <col min="9476" max="9476" width="14.42578125" customWidth="1"/>
    <col min="9728" max="9728" width="3.7109375" customWidth="1"/>
    <col min="9729" max="9729" width="70" customWidth="1"/>
    <col min="9730" max="9730" width="13.7109375" bestFit="1" customWidth="1"/>
    <col min="9731" max="9731" width="12.5703125" bestFit="1" customWidth="1"/>
    <col min="9732" max="9732" width="14.42578125" customWidth="1"/>
    <col min="9984" max="9984" width="3.7109375" customWidth="1"/>
    <col min="9985" max="9985" width="70" customWidth="1"/>
    <col min="9986" max="9986" width="13.7109375" bestFit="1" customWidth="1"/>
    <col min="9987" max="9987" width="12.5703125" bestFit="1" customWidth="1"/>
    <col min="9988" max="9988" width="14.42578125" customWidth="1"/>
    <col min="10240" max="10240" width="3.7109375" customWidth="1"/>
    <col min="10241" max="10241" width="70" customWidth="1"/>
    <col min="10242" max="10242" width="13.7109375" bestFit="1" customWidth="1"/>
    <col min="10243" max="10243" width="12.5703125" bestFit="1" customWidth="1"/>
    <col min="10244" max="10244" width="14.42578125" customWidth="1"/>
    <col min="10496" max="10496" width="3.7109375" customWidth="1"/>
    <col min="10497" max="10497" width="70" customWidth="1"/>
    <col min="10498" max="10498" width="13.7109375" bestFit="1" customWidth="1"/>
    <col min="10499" max="10499" width="12.5703125" bestFit="1" customWidth="1"/>
    <col min="10500" max="10500" width="14.42578125" customWidth="1"/>
    <col min="10752" max="10752" width="3.7109375" customWidth="1"/>
    <col min="10753" max="10753" width="70" customWidth="1"/>
    <col min="10754" max="10754" width="13.7109375" bestFit="1" customWidth="1"/>
    <col min="10755" max="10755" width="12.5703125" bestFit="1" customWidth="1"/>
    <col min="10756" max="10756" width="14.42578125" customWidth="1"/>
    <col min="11008" max="11008" width="3.7109375" customWidth="1"/>
    <col min="11009" max="11009" width="70" customWidth="1"/>
    <col min="11010" max="11010" width="13.7109375" bestFit="1" customWidth="1"/>
    <col min="11011" max="11011" width="12.5703125" bestFit="1" customWidth="1"/>
    <col min="11012" max="11012" width="14.42578125" customWidth="1"/>
    <col min="11264" max="11264" width="3.7109375" customWidth="1"/>
    <col min="11265" max="11265" width="70" customWidth="1"/>
    <col min="11266" max="11266" width="13.7109375" bestFit="1" customWidth="1"/>
    <col min="11267" max="11267" width="12.5703125" bestFit="1" customWidth="1"/>
    <col min="11268" max="11268" width="14.42578125" customWidth="1"/>
    <col min="11520" max="11520" width="3.7109375" customWidth="1"/>
    <col min="11521" max="11521" width="70" customWidth="1"/>
    <col min="11522" max="11522" width="13.7109375" bestFit="1" customWidth="1"/>
    <col min="11523" max="11523" width="12.5703125" bestFit="1" customWidth="1"/>
    <col min="11524" max="11524" width="14.42578125" customWidth="1"/>
    <col min="11776" max="11776" width="3.7109375" customWidth="1"/>
    <col min="11777" max="11777" width="70" customWidth="1"/>
    <col min="11778" max="11778" width="13.7109375" bestFit="1" customWidth="1"/>
    <col min="11779" max="11779" width="12.5703125" bestFit="1" customWidth="1"/>
    <col min="11780" max="11780" width="14.42578125" customWidth="1"/>
    <col min="12032" max="12032" width="3.7109375" customWidth="1"/>
    <col min="12033" max="12033" width="70" customWidth="1"/>
    <col min="12034" max="12034" width="13.7109375" bestFit="1" customWidth="1"/>
    <col min="12035" max="12035" width="12.5703125" bestFit="1" customWidth="1"/>
    <col min="12036" max="12036" width="14.42578125" customWidth="1"/>
    <col min="12288" max="12288" width="3.7109375" customWidth="1"/>
    <col min="12289" max="12289" width="70" customWidth="1"/>
    <col min="12290" max="12290" width="13.7109375" bestFit="1" customWidth="1"/>
    <col min="12291" max="12291" width="12.5703125" bestFit="1" customWidth="1"/>
    <col min="12292" max="12292" width="14.42578125" customWidth="1"/>
    <col min="12544" max="12544" width="3.7109375" customWidth="1"/>
    <col min="12545" max="12545" width="70" customWidth="1"/>
    <col min="12546" max="12546" width="13.7109375" bestFit="1" customWidth="1"/>
    <col min="12547" max="12547" width="12.5703125" bestFit="1" customWidth="1"/>
    <col min="12548" max="12548" width="14.42578125" customWidth="1"/>
    <col min="12800" max="12800" width="3.7109375" customWidth="1"/>
    <col min="12801" max="12801" width="70" customWidth="1"/>
    <col min="12802" max="12802" width="13.7109375" bestFit="1" customWidth="1"/>
    <col min="12803" max="12803" width="12.5703125" bestFit="1" customWidth="1"/>
    <col min="12804" max="12804" width="14.42578125" customWidth="1"/>
    <col min="13056" max="13056" width="3.7109375" customWidth="1"/>
    <col min="13057" max="13057" width="70" customWidth="1"/>
    <col min="13058" max="13058" width="13.7109375" bestFit="1" customWidth="1"/>
    <col min="13059" max="13059" width="12.5703125" bestFit="1" customWidth="1"/>
    <col min="13060" max="13060" width="14.42578125" customWidth="1"/>
    <col min="13312" max="13312" width="3.7109375" customWidth="1"/>
    <col min="13313" max="13313" width="70" customWidth="1"/>
    <col min="13314" max="13314" width="13.7109375" bestFit="1" customWidth="1"/>
    <col min="13315" max="13315" width="12.5703125" bestFit="1" customWidth="1"/>
    <col min="13316" max="13316" width="14.42578125" customWidth="1"/>
    <col min="13568" max="13568" width="3.7109375" customWidth="1"/>
    <col min="13569" max="13569" width="70" customWidth="1"/>
    <col min="13570" max="13570" width="13.7109375" bestFit="1" customWidth="1"/>
    <col min="13571" max="13571" width="12.5703125" bestFit="1" customWidth="1"/>
    <col min="13572" max="13572" width="14.42578125" customWidth="1"/>
    <col min="13824" max="13824" width="3.7109375" customWidth="1"/>
    <col min="13825" max="13825" width="70" customWidth="1"/>
    <col min="13826" max="13826" width="13.7109375" bestFit="1" customWidth="1"/>
    <col min="13827" max="13827" width="12.5703125" bestFit="1" customWidth="1"/>
    <col min="13828" max="13828" width="14.42578125" customWidth="1"/>
    <col min="14080" max="14080" width="3.7109375" customWidth="1"/>
    <col min="14081" max="14081" width="70" customWidth="1"/>
    <col min="14082" max="14082" width="13.7109375" bestFit="1" customWidth="1"/>
    <col min="14083" max="14083" width="12.5703125" bestFit="1" customWidth="1"/>
    <col min="14084" max="14084" width="14.42578125" customWidth="1"/>
    <col min="14336" max="14336" width="3.7109375" customWidth="1"/>
    <col min="14337" max="14337" width="70" customWidth="1"/>
    <col min="14338" max="14338" width="13.7109375" bestFit="1" customWidth="1"/>
    <col min="14339" max="14339" width="12.5703125" bestFit="1" customWidth="1"/>
    <col min="14340" max="14340" width="14.42578125" customWidth="1"/>
    <col min="14592" max="14592" width="3.7109375" customWidth="1"/>
    <col min="14593" max="14593" width="70" customWidth="1"/>
    <col min="14594" max="14594" width="13.7109375" bestFit="1" customWidth="1"/>
    <col min="14595" max="14595" width="12.5703125" bestFit="1" customWidth="1"/>
    <col min="14596" max="14596" width="14.42578125" customWidth="1"/>
    <col min="14848" max="14848" width="3.7109375" customWidth="1"/>
    <col min="14849" max="14849" width="70" customWidth="1"/>
    <col min="14850" max="14850" width="13.7109375" bestFit="1" customWidth="1"/>
    <col min="14851" max="14851" width="12.5703125" bestFit="1" customWidth="1"/>
    <col min="14852" max="14852" width="14.42578125" customWidth="1"/>
    <col min="15104" max="15104" width="3.7109375" customWidth="1"/>
    <col min="15105" max="15105" width="70" customWidth="1"/>
    <col min="15106" max="15106" width="13.7109375" bestFit="1" customWidth="1"/>
    <col min="15107" max="15107" width="12.5703125" bestFit="1" customWidth="1"/>
    <col min="15108" max="15108" width="14.42578125" customWidth="1"/>
    <col min="15360" max="15360" width="3.7109375" customWidth="1"/>
    <col min="15361" max="15361" width="70" customWidth="1"/>
    <col min="15362" max="15362" width="13.7109375" bestFit="1" customWidth="1"/>
    <col min="15363" max="15363" width="12.5703125" bestFit="1" customWidth="1"/>
    <col min="15364" max="15364" width="14.42578125" customWidth="1"/>
    <col min="15616" max="15616" width="3.7109375" customWidth="1"/>
    <col min="15617" max="15617" width="70" customWidth="1"/>
    <col min="15618" max="15618" width="13.7109375" bestFit="1" customWidth="1"/>
    <col min="15619" max="15619" width="12.5703125" bestFit="1" customWidth="1"/>
    <col min="15620" max="15620" width="14.42578125" customWidth="1"/>
    <col min="15872" max="15872" width="3.7109375" customWidth="1"/>
    <col min="15873" max="15873" width="70" customWidth="1"/>
    <col min="15874" max="15874" width="13.7109375" bestFit="1" customWidth="1"/>
    <col min="15875" max="15875" width="12.5703125" bestFit="1" customWidth="1"/>
    <col min="15876" max="15876" width="14.42578125" customWidth="1"/>
    <col min="16128" max="16128" width="3.7109375" customWidth="1"/>
    <col min="16129" max="16129" width="70" customWidth="1"/>
    <col min="16130" max="16130" width="13.7109375" bestFit="1" customWidth="1"/>
    <col min="16131" max="16131" width="12.5703125" bestFit="1" customWidth="1"/>
    <col min="16132" max="16132" width="14.42578125" customWidth="1"/>
  </cols>
  <sheetData>
    <row r="1" spans="1:19" ht="37.5" customHeight="1" x14ac:dyDescent="0.25">
      <c r="A1" s="128" t="s">
        <v>6</v>
      </c>
      <c r="B1" s="129" t="s">
        <v>320</v>
      </c>
      <c r="C1" s="130" t="s">
        <v>82</v>
      </c>
      <c r="D1" s="130" t="s">
        <v>83</v>
      </c>
      <c r="E1" s="130" t="s">
        <v>84</v>
      </c>
      <c r="F1" s="130" t="s">
        <v>85</v>
      </c>
      <c r="G1" s="130" t="s">
        <v>86</v>
      </c>
      <c r="H1" s="130" t="s">
        <v>87</v>
      </c>
      <c r="I1" s="131" t="s">
        <v>88</v>
      </c>
      <c r="J1" s="132" t="s">
        <v>321</v>
      </c>
      <c r="K1" s="133" t="s">
        <v>89</v>
      </c>
      <c r="L1" s="131" t="s">
        <v>90</v>
      </c>
      <c r="M1" s="133" t="s">
        <v>91</v>
      </c>
      <c r="N1" s="131" t="s">
        <v>92</v>
      </c>
      <c r="O1" s="133" t="s">
        <v>93</v>
      </c>
      <c r="P1" s="134" t="s">
        <v>94</v>
      </c>
      <c r="Q1" s="135" t="s">
        <v>95</v>
      </c>
      <c r="R1" s="134" t="s">
        <v>96</v>
      </c>
      <c r="S1" s="41" t="s">
        <v>341</v>
      </c>
    </row>
    <row r="2" spans="1:19" ht="15" customHeight="1" thickBot="1" x14ac:dyDescent="0.3">
      <c r="A2" s="66"/>
      <c r="B2" s="67"/>
      <c r="C2" s="68"/>
      <c r="D2" s="68"/>
      <c r="E2" s="68"/>
      <c r="F2" s="68"/>
      <c r="G2" s="68"/>
      <c r="H2" s="68"/>
      <c r="I2" s="69"/>
      <c r="J2" s="70"/>
      <c r="K2" s="71">
        <v>19.489999999999998</v>
      </c>
      <c r="L2" s="69"/>
      <c r="M2" s="71">
        <v>10.17</v>
      </c>
      <c r="N2" s="69"/>
      <c r="O2" s="71">
        <v>7.86</v>
      </c>
      <c r="P2" s="72"/>
      <c r="Q2" s="73">
        <v>6.33</v>
      </c>
      <c r="R2" s="72"/>
      <c r="S2" s="43"/>
    </row>
    <row r="3" spans="1:19" x14ac:dyDescent="0.25">
      <c r="A3" s="74">
        <v>1</v>
      </c>
      <c r="B3" s="74" t="s">
        <v>97</v>
      </c>
      <c r="C3" s="75">
        <f>G3-D3-E3-F3</f>
        <v>12776.599999999991</v>
      </c>
      <c r="D3" s="75">
        <v>1012.76</v>
      </c>
      <c r="E3" s="75">
        <f>2586.6+458.83</f>
        <v>3045.43</v>
      </c>
      <c r="F3" s="75">
        <v>48384.160000000003</v>
      </c>
      <c r="G3" s="75">
        <v>65218.95</v>
      </c>
      <c r="H3" s="75">
        <f>G3*1.2</f>
        <v>78262.739999999991</v>
      </c>
      <c r="I3" s="76">
        <f>L3+N3+P3+R3</f>
        <v>589524.51579999982</v>
      </c>
      <c r="J3" s="77">
        <f>I3*1.2</f>
        <v>707429.41895999981</v>
      </c>
      <c r="K3" s="78">
        <v>19.489999999999998</v>
      </c>
      <c r="L3" s="76">
        <f>C3*K3</f>
        <v>249015.9339999998</v>
      </c>
      <c r="M3" s="78">
        <v>10.17</v>
      </c>
      <c r="N3" s="76">
        <f>D3*M3</f>
        <v>10299.769200000001</v>
      </c>
      <c r="O3" s="78">
        <v>7.86</v>
      </c>
      <c r="P3" s="76">
        <f>E3*O3</f>
        <v>23937.0798</v>
      </c>
      <c r="Q3" s="79">
        <v>6.33</v>
      </c>
      <c r="R3" s="76">
        <f>F3*Q3</f>
        <v>306271.7328</v>
      </c>
      <c r="S3" s="42">
        <f>I3-R3</f>
        <v>283252.78299999982</v>
      </c>
    </row>
    <row r="4" spans="1:19" x14ac:dyDescent="0.25">
      <c r="A4" s="80">
        <v>2</v>
      </c>
      <c r="B4" s="80" t="s">
        <v>73</v>
      </c>
      <c r="C4" s="81">
        <f t="shared" ref="C4:C67" si="0">G4-D4-E4-F4</f>
        <v>12417.320000000007</v>
      </c>
      <c r="D4" s="81">
        <v>1012.76</v>
      </c>
      <c r="E4" s="81">
        <f>2586.6+458.83</f>
        <v>3045.43</v>
      </c>
      <c r="F4" s="81">
        <v>57079.86</v>
      </c>
      <c r="G4" s="81">
        <v>73555.37</v>
      </c>
      <c r="H4" s="81">
        <f t="shared" ref="H4:H68" si="1">G4*1.2</f>
        <v>88266.443999999989</v>
      </c>
      <c r="I4" s="82">
        <f t="shared" ref="I4:I72" si="2">L4+N4+P4+R4</f>
        <v>637565.92960000015</v>
      </c>
      <c r="J4" s="83">
        <f t="shared" ref="J4:J72" si="3">I4*1.2</f>
        <v>765079.11552000011</v>
      </c>
      <c r="K4" s="78">
        <v>19.489999999999998</v>
      </c>
      <c r="L4" s="82">
        <f t="shared" ref="L4:L72" si="4">C4*K4</f>
        <v>242013.56680000012</v>
      </c>
      <c r="M4" s="78">
        <v>10.17</v>
      </c>
      <c r="N4" s="82">
        <f t="shared" ref="N4:N72" si="5">D4*M4</f>
        <v>10299.769200000001</v>
      </c>
      <c r="O4" s="78">
        <v>7.86</v>
      </c>
      <c r="P4" s="82">
        <f t="shared" ref="P4:P72" si="6">E4*O4</f>
        <v>23937.0798</v>
      </c>
      <c r="Q4" s="79">
        <v>6.33</v>
      </c>
      <c r="R4" s="82">
        <f t="shared" ref="R4:R73" si="7">F4*Q4</f>
        <v>361315.51380000002</v>
      </c>
      <c r="S4" s="42">
        <f t="shared" ref="S4:S67" si="8">I4-R4</f>
        <v>276250.41580000013</v>
      </c>
    </row>
    <row r="5" spans="1:19" ht="30.75" customHeight="1" x14ac:dyDescent="0.25">
      <c r="A5" s="80">
        <v>3</v>
      </c>
      <c r="B5" s="80" t="s">
        <v>98</v>
      </c>
      <c r="C5" s="81">
        <f t="shared" si="0"/>
        <v>17136.350000000006</v>
      </c>
      <c r="D5" s="81">
        <v>1014.83</v>
      </c>
      <c r="E5" s="81">
        <f>2586.6+458.83</f>
        <v>3045.43</v>
      </c>
      <c r="F5" s="81">
        <v>89578.25</v>
      </c>
      <c r="G5" s="81">
        <v>110774.86</v>
      </c>
      <c r="H5" s="81">
        <f t="shared" si="1"/>
        <v>132929.83199999999</v>
      </c>
      <c r="I5" s="82">
        <f>L5+N5+P5+R5</f>
        <v>935275.68490000011</v>
      </c>
      <c r="J5" s="83">
        <f t="shared" si="3"/>
        <v>1122330.8218800002</v>
      </c>
      <c r="K5" s="78">
        <v>19.489999999999998</v>
      </c>
      <c r="L5" s="82">
        <f t="shared" si="4"/>
        <v>333987.46150000009</v>
      </c>
      <c r="M5" s="78">
        <v>10.17</v>
      </c>
      <c r="N5" s="82">
        <f t="shared" si="5"/>
        <v>10320.821100000001</v>
      </c>
      <c r="O5" s="78">
        <v>7.86</v>
      </c>
      <c r="P5" s="82">
        <f t="shared" si="6"/>
        <v>23937.0798</v>
      </c>
      <c r="Q5" s="79">
        <v>6.33</v>
      </c>
      <c r="R5" s="82">
        <f t="shared" si="7"/>
        <v>567030.32250000001</v>
      </c>
      <c r="S5" s="42">
        <f t="shared" si="8"/>
        <v>368245.3624000001</v>
      </c>
    </row>
    <row r="6" spans="1:19" x14ac:dyDescent="0.25">
      <c r="A6" s="80">
        <v>4</v>
      </c>
      <c r="B6" s="80" t="s">
        <v>99</v>
      </c>
      <c r="C6" s="81">
        <f t="shared" si="0"/>
        <v>14488.449999999997</v>
      </c>
      <c r="D6" s="81">
        <v>1014.93</v>
      </c>
      <c r="E6" s="81">
        <f>459.25+2586.6</f>
        <v>3045.85</v>
      </c>
      <c r="F6" s="81">
        <v>93552.6</v>
      </c>
      <c r="G6" s="81">
        <v>112101.83</v>
      </c>
      <c r="H6" s="81">
        <f t="shared" si="1"/>
        <v>134522.196</v>
      </c>
      <c r="I6" s="82">
        <f t="shared" si="2"/>
        <v>908830.06759999995</v>
      </c>
      <c r="J6" s="83">
        <f t="shared" si="3"/>
        <v>1090596.08112</v>
      </c>
      <c r="K6" s="78">
        <v>19.489999999999998</v>
      </c>
      <c r="L6" s="82">
        <f t="shared" si="4"/>
        <v>282379.89049999992</v>
      </c>
      <c r="M6" s="78">
        <v>10.17</v>
      </c>
      <c r="N6" s="82">
        <f t="shared" si="5"/>
        <v>10321.838099999999</v>
      </c>
      <c r="O6" s="78">
        <v>7.86</v>
      </c>
      <c r="P6" s="82">
        <f t="shared" si="6"/>
        <v>23940.381000000001</v>
      </c>
      <c r="Q6" s="79">
        <v>6.33</v>
      </c>
      <c r="R6" s="82">
        <f t="shared" si="7"/>
        <v>592187.9580000001</v>
      </c>
      <c r="S6" s="42">
        <f t="shared" si="8"/>
        <v>316642.10959999985</v>
      </c>
    </row>
    <row r="7" spans="1:19" ht="27.75" customHeight="1" x14ac:dyDescent="0.25">
      <c r="A7" s="80">
        <v>4</v>
      </c>
      <c r="B7" s="80" t="s">
        <v>100</v>
      </c>
      <c r="C7" s="81">
        <f t="shared" si="0"/>
        <v>2185.2999999999993</v>
      </c>
      <c r="D7" s="81">
        <v>83.58</v>
      </c>
      <c r="E7" s="81">
        <v>11314</v>
      </c>
      <c r="F7" s="81"/>
      <c r="G7" s="81">
        <v>13582.88</v>
      </c>
      <c r="H7" s="81">
        <f t="shared" si="1"/>
        <v>16299.455999999998</v>
      </c>
      <c r="I7" s="82">
        <f t="shared" si="2"/>
        <v>132369.54559999998</v>
      </c>
      <c r="J7" s="83">
        <f t="shared" si="3"/>
        <v>158843.45471999998</v>
      </c>
      <c r="K7" s="78">
        <v>19.489999999999998</v>
      </c>
      <c r="L7" s="82">
        <f t="shared" si="4"/>
        <v>42591.496999999981</v>
      </c>
      <c r="M7" s="78">
        <v>10.17</v>
      </c>
      <c r="N7" s="82">
        <f t="shared" si="5"/>
        <v>850.0086</v>
      </c>
      <c r="O7" s="78">
        <v>7.86</v>
      </c>
      <c r="P7" s="82">
        <f t="shared" si="6"/>
        <v>88928.040000000008</v>
      </c>
      <c r="Q7" s="79">
        <v>6.33</v>
      </c>
      <c r="R7" s="82">
        <f t="shared" si="7"/>
        <v>0</v>
      </c>
      <c r="S7" s="42">
        <f t="shared" si="8"/>
        <v>132369.54559999998</v>
      </c>
    </row>
    <row r="8" spans="1:19" x14ac:dyDescent="0.25">
      <c r="A8" s="80">
        <v>5</v>
      </c>
      <c r="B8" s="80" t="s">
        <v>101</v>
      </c>
      <c r="C8" s="81">
        <f t="shared" si="0"/>
        <v>14699.750000000007</v>
      </c>
      <c r="D8" s="81">
        <v>2157.5300000000002</v>
      </c>
      <c r="E8" s="81">
        <f>19493+583.89</f>
        <v>20076.89</v>
      </c>
      <c r="F8" s="81">
        <v>51009.54</v>
      </c>
      <c r="G8" s="81">
        <v>87943.71</v>
      </c>
      <c r="H8" s="81">
        <f t="shared" si="1"/>
        <v>105532.452</v>
      </c>
      <c r="I8" s="82">
        <f t="shared" si="2"/>
        <v>789134.95120000013</v>
      </c>
      <c r="J8" s="83">
        <f t="shared" si="3"/>
        <v>946961.94144000008</v>
      </c>
      <c r="K8" s="78">
        <v>19.489999999999998</v>
      </c>
      <c r="L8" s="82">
        <f t="shared" si="4"/>
        <v>286498.12750000012</v>
      </c>
      <c r="M8" s="78">
        <v>10.17</v>
      </c>
      <c r="N8" s="82">
        <f t="shared" si="5"/>
        <v>21942.080100000003</v>
      </c>
      <c r="O8" s="78">
        <v>7.86</v>
      </c>
      <c r="P8" s="82">
        <f t="shared" si="6"/>
        <v>157804.3554</v>
      </c>
      <c r="Q8" s="79">
        <v>6.33</v>
      </c>
      <c r="R8" s="82">
        <f t="shared" si="7"/>
        <v>322890.38819999999</v>
      </c>
      <c r="S8" s="42">
        <f t="shared" si="8"/>
        <v>466244.56300000014</v>
      </c>
    </row>
    <row r="9" spans="1:19" x14ac:dyDescent="0.25">
      <c r="A9" s="80">
        <v>6</v>
      </c>
      <c r="B9" s="80" t="s">
        <v>102</v>
      </c>
      <c r="C9" s="81">
        <f t="shared" si="0"/>
        <v>19408.310000000012</v>
      </c>
      <c r="D9" s="81">
        <v>2194.21</v>
      </c>
      <c r="E9" s="81">
        <f>572.44+19882.77</f>
        <v>20455.21</v>
      </c>
      <c r="F9" s="81">
        <v>114123.02</v>
      </c>
      <c r="G9" s="81">
        <v>156180.75</v>
      </c>
      <c r="H9" s="81">
        <f t="shared" si="1"/>
        <v>187416.9</v>
      </c>
      <c r="I9" s="82">
        <f t="shared" si="2"/>
        <v>1283759.7448000005</v>
      </c>
      <c r="J9" s="83">
        <f t="shared" si="3"/>
        <v>1540511.6937600004</v>
      </c>
      <c r="K9" s="78">
        <v>19.489999999999998</v>
      </c>
      <c r="L9" s="82">
        <f t="shared" si="4"/>
        <v>378267.96190000023</v>
      </c>
      <c r="M9" s="78">
        <v>10.17</v>
      </c>
      <c r="N9" s="82">
        <f t="shared" si="5"/>
        <v>22315.115699999998</v>
      </c>
      <c r="O9" s="78">
        <v>7.86</v>
      </c>
      <c r="P9" s="82">
        <f t="shared" si="6"/>
        <v>160777.95060000001</v>
      </c>
      <c r="Q9" s="79">
        <v>6.33</v>
      </c>
      <c r="R9" s="82">
        <f t="shared" si="7"/>
        <v>722398.71660000004</v>
      </c>
      <c r="S9" s="42">
        <f t="shared" si="8"/>
        <v>561361.02820000041</v>
      </c>
    </row>
    <row r="10" spans="1:19" x14ac:dyDescent="0.25">
      <c r="A10" s="80">
        <v>7</v>
      </c>
      <c r="B10" s="80" t="s">
        <v>103</v>
      </c>
      <c r="C10" s="81">
        <f t="shared" si="0"/>
        <v>21482.000000000029</v>
      </c>
      <c r="D10" s="81">
        <v>2177.08</v>
      </c>
      <c r="E10" s="81">
        <f>572.44+19882.77</f>
        <v>20455.21</v>
      </c>
      <c r="F10" s="81">
        <v>123749.94</v>
      </c>
      <c r="G10" s="81">
        <v>167864.23</v>
      </c>
      <c r="H10" s="81">
        <f t="shared" si="1"/>
        <v>201437.076</v>
      </c>
      <c r="I10" s="82">
        <f t="shared" si="2"/>
        <v>1384940.1544000006</v>
      </c>
      <c r="J10" s="83">
        <f t="shared" si="3"/>
        <v>1661928.1852800006</v>
      </c>
      <c r="K10" s="78">
        <v>19.489999999999998</v>
      </c>
      <c r="L10" s="82">
        <f t="shared" si="4"/>
        <v>418684.18000000052</v>
      </c>
      <c r="M10" s="78">
        <v>10.17</v>
      </c>
      <c r="N10" s="82">
        <f t="shared" si="5"/>
        <v>22140.903599999998</v>
      </c>
      <c r="O10" s="78">
        <v>7.86</v>
      </c>
      <c r="P10" s="82">
        <f t="shared" si="6"/>
        <v>160777.95060000001</v>
      </c>
      <c r="Q10" s="79">
        <v>6.33</v>
      </c>
      <c r="R10" s="82">
        <f t="shared" si="7"/>
        <v>783337.1202</v>
      </c>
      <c r="S10" s="42">
        <f t="shared" si="8"/>
        <v>601603.03420000058</v>
      </c>
    </row>
    <row r="11" spans="1:19" x14ac:dyDescent="0.25">
      <c r="A11" s="80">
        <v>8</v>
      </c>
      <c r="B11" s="80" t="s">
        <v>104</v>
      </c>
      <c r="C11" s="81">
        <f t="shared" si="0"/>
        <v>39954.69</v>
      </c>
      <c r="D11" s="81">
        <v>3121.08</v>
      </c>
      <c r="E11" s="81">
        <v>8584.3799999999992</v>
      </c>
      <c r="F11" s="81">
        <v>235953.24</v>
      </c>
      <c r="G11" s="81">
        <v>287613.39</v>
      </c>
      <c r="H11" s="81">
        <f t="shared" si="1"/>
        <v>345136.06800000003</v>
      </c>
      <c r="I11" s="82">
        <f t="shared" si="2"/>
        <v>2371515.5277</v>
      </c>
      <c r="J11" s="83">
        <f t="shared" si="3"/>
        <v>2845818.6332399999</v>
      </c>
      <c r="K11" s="78">
        <v>19.489999999999998</v>
      </c>
      <c r="L11" s="82">
        <f t="shared" si="4"/>
        <v>778716.9081</v>
      </c>
      <c r="M11" s="78">
        <v>10.17</v>
      </c>
      <c r="N11" s="82">
        <f t="shared" si="5"/>
        <v>31741.383599999997</v>
      </c>
      <c r="O11" s="78">
        <v>7.86</v>
      </c>
      <c r="P11" s="82">
        <f t="shared" si="6"/>
        <v>67473.226799999989</v>
      </c>
      <c r="Q11" s="79">
        <v>6.33</v>
      </c>
      <c r="R11" s="82">
        <f t="shared" si="7"/>
        <v>1493584.0092</v>
      </c>
      <c r="S11" s="42">
        <f t="shared" si="8"/>
        <v>877931.51850000001</v>
      </c>
    </row>
    <row r="12" spans="1:19" x14ac:dyDescent="0.25">
      <c r="A12" s="80">
        <v>9</v>
      </c>
      <c r="B12" s="80" t="s">
        <v>105</v>
      </c>
      <c r="C12" s="81">
        <f t="shared" si="0"/>
        <v>43955.749999999942</v>
      </c>
      <c r="D12" s="81">
        <v>3367.2</v>
      </c>
      <c r="E12" s="81">
        <v>8592.52</v>
      </c>
      <c r="F12" s="81">
        <v>300799.25</v>
      </c>
      <c r="G12" s="81">
        <v>356714.72</v>
      </c>
      <c r="H12" s="81">
        <f t="shared" si="1"/>
        <v>428057.66399999993</v>
      </c>
      <c r="I12" s="82">
        <f t="shared" si="2"/>
        <v>2862538.4511999991</v>
      </c>
      <c r="J12" s="83">
        <f t="shared" si="3"/>
        <v>3435046.141439999</v>
      </c>
      <c r="K12" s="78">
        <v>19.489999999999998</v>
      </c>
      <c r="L12" s="82">
        <f t="shared" si="4"/>
        <v>856697.56749999884</v>
      </c>
      <c r="M12" s="78">
        <v>10.17</v>
      </c>
      <c r="N12" s="82">
        <f t="shared" si="5"/>
        <v>34244.423999999999</v>
      </c>
      <c r="O12" s="78">
        <v>7.86</v>
      </c>
      <c r="P12" s="82">
        <f t="shared" si="6"/>
        <v>67537.207200000004</v>
      </c>
      <c r="Q12" s="79">
        <v>6.33</v>
      </c>
      <c r="R12" s="82">
        <f t="shared" si="7"/>
        <v>1904059.2524999999</v>
      </c>
      <c r="S12" s="42">
        <f t="shared" si="8"/>
        <v>958479.19869999913</v>
      </c>
    </row>
    <row r="13" spans="1:19" x14ac:dyDescent="0.25">
      <c r="A13" s="80">
        <v>10</v>
      </c>
      <c r="B13" s="80" t="s">
        <v>106</v>
      </c>
      <c r="C13" s="81">
        <f t="shared" si="0"/>
        <v>45494.570000000007</v>
      </c>
      <c r="D13" s="81">
        <v>3972.01</v>
      </c>
      <c r="E13" s="81">
        <v>8825.06</v>
      </c>
      <c r="F13" s="81">
        <v>338250</v>
      </c>
      <c r="G13" s="81">
        <v>396541.64</v>
      </c>
      <c r="H13" s="81">
        <f t="shared" si="1"/>
        <v>475849.96799999999</v>
      </c>
      <c r="I13" s="82">
        <f t="shared" si="2"/>
        <v>3137571.9826000002</v>
      </c>
      <c r="J13" s="83">
        <f t="shared" si="3"/>
        <v>3765086.3791200002</v>
      </c>
      <c r="K13" s="78">
        <v>19.489999999999998</v>
      </c>
      <c r="L13" s="82">
        <f t="shared" si="4"/>
        <v>886689.16930000007</v>
      </c>
      <c r="M13" s="78">
        <v>10.17</v>
      </c>
      <c r="N13" s="82">
        <f t="shared" si="5"/>
        <v>40395.341700000004</v>
      </c>
      <c r="O13" s="78">
        <v>7.86</v>
      </c>
      <c r="P13" s="82">
        <f t="shared" si="6"/>
        <v>69364.971600000004</v>
      </c>
      <c r="Q13" s="79">
        <v>6.33</v>
      </c>
      <c r="R13" s="82">
        <f t="shared" si="7"/>
        <v>2141122.5</v>
      </c>
      <c r="S13" s="42">
        <f t="shared" si="8"/>
        <v>996449.48260000022</v>
      </c>
    </row>
    <row r="14" spans="1:19" x14ac:dyDescent="0.25">
      <c r="A14" s="80">
        <v>11</v>
      </c>
      <c r="B14" s="80" t="s">
        <v>107</v>
      </c>
      <c r="C14" s="81">
        <f t="shared" si="0"/>
        <v>55648.070000000007</v>
      </c>
      <c r="D14" s="81">
        <v>4763.09</v>
      </c>
      <c r="E14" s="81">
        <v>11705.87</v>
      </c>
      <c r="F14" s="81">
        <v>351896.43</v>
      </c>
      <c r="G14" s="81">
        <v>424013.46</v>
      </c>
      <c r="H14" s="81">
        <f t="shared" si="1"/>
        <v>508816.152</v>
      </c>
      <c r="I14" s="82">
        <f t="shared" si="2"/>
        <v>3452534.0496999999</v>
      </c>
      <c r="J14" s="83">
        <f t="shared" si="3"/>
        <v>4143040.8596399995</v>
      </c>
      <c r="K14" s="78">
        <v>19.489999999999998</v>
      </c>
      <c r="L14" s="82">
        <f t="shared" si="4"/>
        <v>1084580.8843</v>
      </c>
      <c r="M14" s="78">
        <v>10.17</v>
      </c>
      <c r="N14" s="82">
        <f t="shared" si="5"/>
        <v>48440.6253</v>
      </c>
      <c r="O14" s="78">
        <v>7.86</v>
      </c>
      <c r="P14" s="82">
        <f t="shared" si="6"/>
        <v>92008.138200000016</v>
      </c>
      <c r="Q14" s="79">
        <v>6.33</v>
      </c>
      <c r="R14" s="82">
        <f t="shared" si="7"/>
        <v>2227504.4018999999</v>
      </c>
      <c r="S14" s="42">
        <f t="shared" si="8"/>
        <v>1225029.6477999999</v>
      </c>
    </row>
    <row r="15" spans="1:19" x14ac:dyDescent="0.25">
      <c r="A15" s="80">
        <v>12</v>
      </c>
      <c r="B15" s="80" t="s">
        <v>108</v>
      </c>
      <c r="C15" s="81">
        <f t="shared" si="0"/>
        <v>107534.59000000008</v>
      </c>
      <c r="D15" s="81">
        <v>4894.97</v>
      </c>
      <c r="E15" s="81">
        <v>13791.65</v>
      </c>
      <c r="F15" s="81">
        <v>505471.22</v>
      </c>
      <c r="G15" s="81">
        <v>631692.43000000005</v>
      </c>
      <c r="H15" s="81">
        <f t="shared" si="1"/>
        <v>758030.91600000008</v>
      </c>
      <c r="I15" s="82">
        <f t="shared" si="2"/>
        <v>5453666.1956000011</v>
      </c>
      <c r="J15" s="83">
        <f t="shared" si="3"/>
        <v>6544399.4347200012</v>
      </c>
      <c r="K15" s="78">
        <v>19.489999999999998</v>
      </c>
      <c r="L15" s="82">
        <f t="shared" si="4"/>
        <v>2095849.1591000014</v>
      </c>
      <c r="M15" s="78">
        <v>10.17</v>
      </c>
      <c r="N15" s="82">
        <f t="shared" si="5"/>
        <v>49781.844900000004</v>
      </c>
      <c r="O15" s="78">
        <v>7.86</v>
      </c>
      <c r="P15" s="82">
        <f t="shared" si="6"/>
        <v>108402.36900000001</v>
      </c>
      <c r="Q15" s="79">
        <v>6.33</v>
      </c>
      <c r="R15" s="82">
        <f t="shared" si="7"/>
        <v>3199632.8226000001</v>
      </c>
      <c r="S15" s="42">
        <f t="shared" si="8"/>
        <v>2254033.3730000011</v>
      </c>
    </row>
    <row r="16" spans="1:19" x14ac:dyDescent="0.25">
      <c r="A16" s="80">
        <v>13</v>
      </c>
      <c r="B16" s="80" t="s">
        <v>109</v>
      </c>
      <c r="C16" s="81">
        <f t="shared" si="0"/>
        <v>79913.650000000023</v>
      </c>
      <c r="D16" s="81">
        <v>4024.94</v>
      </c>
      <c r="E16" s="81">
        <v>11415.5</v>
      </c>
      <c r="F16" s="81">
        <v>649542.92000000004</v>
      </c>
      <c r="G16" s="81">
        <v>744897.01</v>
      </c>
      <c r="H16" s="81">
        <f t="shared" si="1"/>
        <v>893876.41200000001</v>
      </c>
      <c r="I16" s="82">
        <f t="shared" si="2"/>
        <v>5799783.1919</v>
      </c>
      <c r="J16" s="83">
        <f t="shared" si="3"/>
        <v>6959739.8302799994</v>
      </c>
      <c r="K16" s="78">
        <v>19.489999999999998</v>
      </c>
      <c r="L16" s="82">
        <f t="shared" si="4"/>
        <v>1557517.0385000003</v>
      </c>
      <c r="M16" s="78">
        <v>10.17</v>
      </c>
      <c r="N16" s="82">
        <f t="shared" si="5"/>
        <v>40933.639799999997</v>
      </c>
      <c r="O16" s="78">
        <v>7.86</v>
      </c>
      <c r="P16" s="82">
        <f t="shared" si="6"/>
        <v>89725.83</v>
      </c>
      <c r="Q16" s="79">
        <v>6.33</v>
      </c>
      <c r="R16" s="82">
        <f t="shared" si="7"/>
        <v>4111606.6836000001</v>
      </c>
      <c r="S16" s="42">
        <f t="shared" si="8"/>
        <v>1688176.5082999999</v>
      </c>
    </row>
    <row r="17" spans="1:19" x14ac:dyDescent="0.25">
      <c r="A17" s="80">
        <v>14</v>
      </c>
      <c r="B17" s="80" t="s">
        <v>110</v>
      </c>
      <c r="C17" s="81">
        <f t="shared" si="0"/>
        <v>106098.32999999996</v>
      </c>
      <c r="D17" s="81">
        <v>5900.39</v>
      </c>
      <c r="E17" s="81">
        <v>13000.87</v>
      </c>
      <c r="F17" s="81">
        <v>751400.9</v>
      </c>
      <c r="G17" s="81">
        <v>876400.49</v>
      </c>
      <c r="H17" s="81">
        <f t="shared" si="1"/>
        <v>1051680.588</v>
      </c>
      <c r="I17" s="82">
        <f t="shared" si="2"/>
        <v>6986417.9531999994</v>
      </c>
      <c r="J17" s="83">
        <f t="shared" si="3"/>
        <v>8383701.5438399985</v>
      </c>
      <c r="K17" s="78">
        <v>19.489999999999998</v>
      </c>
      <c r="L17" s="82">
        <f t="shared" si="4"/>
        <v>2067856.4516999989</v>
      </c>
      <c r="M17" s="78">
        <v>10.17</v>
      </c>
      <c r="N17" s="82">
        <f t="shared" si="5"/>
        <v>60006.9663</v>
      </c>
      <c r="O17" s="78">
        <v>7.86</v>
      </c>
      <c r="P17" s="82">
        <f t="shared" si="6"/>
        <v>102186.83820000001</v>
      </c>
      <c r="Q17" s="79">
        <v>6.33</v>
      </c>
      <c r="R17" s="82">
        <f t="shared" si="7"/>
        <v>4756367.6970000006</v>
      </c>
      <c r="S17" s="42">
        <f t="shared" si="8"/>
        <v>2230050.2561999988</v>
      </c>
    </row>
    <row r="18" spans="1:19" x14ac:dyDescent="0.25">
      <c r="A18" s="84">
        <v>15</v>
      </c>
      <c r="B18" s="84" t="s">
        <v>111</v>
      </c>
      <c r="C18" s="85">
        <f t="shared" si="0"/>
        <v>82817.149854800082</v>
      </c>
      <c r="D18" s="85">
        <f>6295.41*1.025*1.021*1.03</f>
        <v>6785.9530687574988</v>
      </c>
      <c r="E18" s="85">
        <f>13242.19*1.025*1.021*1.03</f>
        <v>14274.031376442499</v>
      </c>
      <c r="F18" s="85">
        <f>769016.19*1.03</f>
        <v>792086.67569999991</v>
      </c>
      <c r="G18" s="85">
        <v>895963.81</v>
      </c>
      <c r="H18" s="85">
        <f t="shared" si="1"/>
        <v>1075156.5719999999</v>
      </c>
      <c r="I18" s="86">
        <f t="shared" si="2"/>
        <v>6809221.9371791547</v>
      </c>
      <c r="J18" s="87">
        <f t="shared" si="3"/>
        <v>8171066.3246149849</v>
      </c>
      <c r="K18" s="78">
        <v>19.489999999999998</v>
      </c>
      <c r="L18" s="86">
        <f t="shared" si="4"/>
        <v>1614106.2506700535</v>
      </c>
      <c r="M18" s="78">
        <v>10.17</v>
      </c>
      <c r="N18" s="86">
        <f t="shared" si="5"/>
        <v>69013.14270926376</v>
      </c>
      <c r="O18" s="78">
        <v>7.86</v>
      </c>
      <c r="P18" s="86">
        <f t="shared" si="6"/>
        <v>112193.88661883805</v>
      </c>
      <c r="Q18" s="79">
        <v>6.33</v>
      </c>
      <c r="R18" s="86">
        <f t="shared" si="7"/>
        <v>5013908.6571809994</v>
      </c>
      <c r="S18" s="42">
        <f t="shared" si="8"/>
        <v>1795313.2799981553</v>
      </c>
    </row>
    <row r="19" spans="1:19" x14ac:dyDescent="0.25">
      <c r="A19" s="80">
        <v>16</v>
      </c>
      <c r="B19" s="80" t="s">
        <v>112</v>
      </c>
      <c r="C19" s="81">
        <f t="shared" si="0"/>
        <v>122885.80000000005</v>
      </c>
      <c r="D19" s="81">
        <v>5710.32</v>
      </c>
      <c r="E19" s="81">
        <v>14984.14</v>
      </c>
      <c r="F19" s="81">
        <v>827337.3</v>
      </c>
      <c r="G19" s="81">
        <v>970917.56</v>
      </c>
      <c r="H19" s="81">
        <f t="shared" si="1"/>
        <v>1165101.0719999999</v>
      </c>
      <c r="I19" s="82">
        <f t="shared" si="2"/>
        <v>7807938.645800001</v>
      </c>
      <c r="J19" s="83">
        <f t="shared" si="3"/>
        <v>9369526.3749600016</v>
      </c>
      <c r="K19" s="78">
        <v>19.489999999999998</v>
      </c>
      <c r="L19" s="82">
        <f t="shared" si="4"/>
        <v>2395044.2420000006</v>
      </c>
      <c r="M19" s="78">
        <v>10.17</v>
      </c>
      <c r="N19" s="82">
        <f t="shared" si="5"/>
        <v>58073.954399999995</v>
      </c>
      <c r="O19" s="78">
        <v>7.86</v>
      </c>
      <c r="P19" s="82">
        <f t="shared" si="6"/>
        <v>117775.3404</v>
      </c>
      <c r="Q19" s="79">
        <v>6.33</v>
      </c>
      <c r="R19" s="82">
        <f t="shared" si="7"/>
        <v>5237045.1090000002</v>
      </c>
      <c r="S19" s="42">
        <f t="shared" si="8"/>
        <v>2570893.5368000008</v>
      </c>
    </row>
    <row r="20" spans="1:19" x14ac:dyDescent="0.25">
      <c r="A20" s="80">
        <v>17</v>
      </c>
      <c r="B20" s="80" t="s">
        <v>322</v>
      </c>
      <c r="C20" s="81">
        <f t="shared" si="0"/>
        <v>77847.960000000021</v>
      </c>
      <c r="D20" s="81">
        <v>4994.5600000000004</v>
      </c>
      <c r="E20" s="81">
        <v>5512.61</v>
      </c>
      <c r="F20" s="81">
        <v>280917.27</v>
      </c>
      <c r="G20" s="81">
        <v>369272.4</v>
      </c>
      <c r="H20" s="81">
        <f t="shared" si="1"/>
        <v>443126.88</v>
      </c>
      <c r="I20" s="82">
        <f t="shared" si="2"/>
        <v>3389586.8493000004</v>
      </c>
      <c r="J20" s="83">
        <f t="shared" si="3"/>
        <v>4067504.2191600003</v>
      </c>
      <c r="K20" s="78">
        <v>19.489999999999998</v>
      </c>
      <c r="L20" s="82">
        <f t="shared" si="4"/>
        <v>1517256.7404000002</v>
      </c>
      <c r="M20" s="78">
        <v>10.17</v>
      </c>
      <c r="N20" s="82">
        <f t="shared" si="5"/>
        <v>50794.675200000005</v>
      </c>
      <c r="O20" s="78">
        <v>7.86</v>
      </c>
      <c r="P20" s="82">
        <f t="shared" si="6"/>
        <v>43329.114600000001</v>
      </c>
      <c r="Q20" s="79">
        <v>6.33</v>
      </c>
      <c r="R20" s="82">
        <f t="shared" si="7"/>
        <v>1778206.3191000002</v>
      </c>
      <c r="S20" s="42">
        <f t="shared" si="8"/>
        <v>1611380.5302000002</v>
      </c>
    </row>
    <row r="21" spans="1:19" x14ac:dyDescent="0.25">
      <c r="A21" s="80">
        <v>18</v>
      </c>
      <c r="B21" s="80" t="s">
        <v>323</v>
      </c>
      <c r="C21" s="81">
        <f t="shared" si="0"/>
        <v>88495.670000000042</v>
      </c>
      <c r="D21" s="81">
        <v>5678.42</v>
      </c>
      <c r="E21" s="81">
        <v>5512.61</v>
      </c>
      <c r="F21" s="81">
        <v>322140.28999999998</v>
      </c>
      <c r="G21" s="81">
        <v>421826.99</v>
      </c>
      <c r="H21" s="81">
        <f t="shared" si="1"/>
        <v>506192.38799999998</v>
      </c>
      <c r="I21" s="82">
        <f t="shared" si="2"/>
        <v>3865007.2900000005</v>
      </c>
      <c r="J21" s="83">
        <f t="shared" si="3"/>
        <v>4638008.7480000006</v>
      </c>
      <c r="K21" s="78">
        <v>19.489999999999998</v>
      </c>
      <c r="L21" s="82">
        <f t="shared" si="4"/>
        <v>1724780.6083000007</v>
      </c>
      <c r="M21" s="78">
        <v>10.17</v>
      </c>
      <c r="N21" s="82">
        <f t="shared" si="5"/>
        <v>57749.5314</v>
      </c>
      <c r="O21" s="78">
        <v>7.86</v>
      </c>
      <c r="P21" s="82">
        <f t="shared" si="6"/>
        <v>43329.114600000001</v>
      </c>
      <c r="Q21" s="79">
        <v>6.33</v>
      </c>
      <c r="R21" s="82">
        <f t="shared" si="7"/>
        <v>2039148.0356999999</v>
      </c>
      <c r="S21" s="42">
        <f t="shared" si="8"/>
        <v>1825859.2543000006</v>
      </c>
    </row>
    <row r="22" spans="1:19" ht="16.5" customHeight="1" x14ac:dyDescent="0.25">
      <c r="A22" s="80">
        <v>19</v>
      </c>
      <c r="B22" s="80" t="s">
        <v>324</v>
      </c>
      <c r="C22" s="81">
        <f t="shared" si="0"/>
        <v>101299.19</v>
      </c>
      <c r="D22" s="81">
        <v>6793.57</v>
      </c>
      <c r="E22" s="81">
        <v>5512.61</v>
      </c>
      <c r="F22" s="81">
        <v>355857.31</v>
      </c>
      <c r="G22" s="81">
        <v>469462.68</v>
      </c>
      <c r="H22" s="81">
        <f t="shared" si="1"/>
        <v>563355.21600000001</v>
      </c>
      <c r="I22" s="82">
        <f t="shared" si="2"/>
        <v>4339317.7068999996</v>
      </c>
      <c r="J22" s="83">
        <f t="shared" si="3"/>
        <v>5207181.248279999</v>
      </c>
      <c r="K22" s="78">
        <v>19.489999999999998</v>
      </c>
      <c r="L22" s="82">
        <f t="shared" si="4"/>
        <v>1974321.2130999998</v>
      </c>
      <c r="M22" s="78">
        <v>10.17</v>
      </c>
      <c r="N22" s="82">
        <f t="shared" si="5"/>
        <v>69090.606899999999</v>
      </c>
      <c r="O22" s="78">
        <v>7.86</v>
      </c>
      <c r="P22" s="82">
        <f t="shared" si="6"/>
        <v>43329.114600000001</v>
      </c>
      <c r="Q22" s="79">
        <v>6.33</v>
      </c>
      <c r="R22" s="82">
        <f t="shared" si="7"/>
        <v>2252576.7722999998</v>
      </c>
      <c r="S22" s="42">
        <f t="shared" si="8"/>
        <v>2086740.9345999998</v>
      </c>
    </row>
    <row r="23" spans="1:19" x14ac:dyDescent="0.25">
      <c r="A23" s="80">
        <v>20</v>
      </c>
      <c r="B23" s="80" t="s">
        <v>113</v>
      </c>
      <c r="C23" s="81">
        <f t="shared" si="0"/>
        <v>123458.65000000014</v>
      </c>
      <c r="D23" s="81">
        <v>6356.82</v>
      </c>
      <c r="E23" s="81">
        <v>16412.150000000001</v>
      </c>
      <c r="F23" s="81">
        <v>1046265.22</v>
      </c>
      <c r="G23" s="81">
        <v>1192492.8400000001</v>
      </c>
      <c r="H23" s="81">
        <f t="shared" si="1"/>
        <v>1430991.4080000001</v>
      </c>
      <c r="I23" s="82">
        <f t="shared" si="2"/>
        <v>9222716.2895000018</v>
      </c>
      <c r="J23" s="83">
        <f t="shared" si="3"/>
        <v>11067259.547400001</v>
      </c>
      <c r="K23" s="78">
        <v>19.489999999999998</v>
      </c>
      <c r="L23" s="82">
        <f t="shared" si="4"/>
        <v>2406209.0885000024</v>
      </c>
      <c r="M23" s="78">
        <v>10.17</v>
      </c>
      <c r="N23" s="82">
        <f t="shared" si="5"/>
        <v>64648.859399999994</v>
      </c>
      <c r="O23" s="78">
        <v>7.86</v>
      </c>
      <c r="P23" s="82">
        <f t="shared" si="6"/>
        <v>128999.49900000001</v>
      </c>
      <c r="Q23" s="79">
        <v>6.33</v>
      </c>
      <c r="R23" s="82">
        <f t="shared" si="7"/>
        <v>6622858.8426000001</v>
      </c>
      <c r="S23" s="42">
        <f t="shared" si="8"/>
        <v>2599857.4469000017</v>
      </c>
    </row>
    <row r="24" spans="1:19" ht="17.25" customHeight="1" x14ac:dyDescent="0.25">
      <c r="A24" s="80">
        <v>21</v>
      </c>
      <c r="B24" s="80" t="s">
        <v>114</v>
      </c>
      <c r="C24" s="81">
        <f t="shared" si="0"/>
        <v>147412.10000000009</v>
      </c>
      <c r="D24" s="81">
        <v>10844.45</v>
      </c>
      <c r="E24" s="81">
        <v>22774.25</v>
      </c>
      <c r="F24" s="81">
        <v>488597.12</v>
      </c>
      <c r="G24" s="81">
        <v>669627.92000000004</v>
      </c>
      <c r="H24" s="81">
        <f t="shared" si="1"/>
        <v>803553.50400000007</v>
      </c>
      <c r="I24" s="82">
        <f t="shared" si="2"/>
        <v>6255175.2601000015</v>
      </c>
      <c r="J24" s="83">
        <f t="shared" si="3"/>
        <v>7506210.3121200018</v>
      </c>
      <c r="K24" s="78">
        <v>19.489999999999998</v>
      </c>
      <c r="L24" s="82">
        <f t="shared" si="4"/>
        <v>2873061.8290000018</v>
      </c>
      <c r="M24" s="78">
        <v>10.17</v>
      </c>
      <c r="N24" s="82">
        <f t="shared" si="5"/>
        <v>110288.05650000001</v>
      </c>
      <c r="O24" s="78">
        <v>7.86</v>
      </c>
      <c r="P24" s="82">
        <f t="shared" si="6"/>
        <v>179005.60500000001</v>
      </c>
      <c r="Q24" s="79">
        <v>6.33</v>
      </c>
      <c r="R24" s="82">
        <f t="shared" si="7"/>
        <v>3092819.7696000002</v>
      </c>
      <c r="S24" s="42">
        <f t="shared" si="8"/>
        <v>3162355.4905000012</v>
      </c>
    </row>
    <row r="25" spans="1:19" x14ac:dyDescent="0.25">
      <c r="A25" s="80">
        <v>22</v>
      </c>
      <c r="B25" s="80" t="s">
        <v>115</v>
      </c>
      <c r="C25" s="81">
        <f t="shared" si="0"/>
        <v>141472.37</v>
      </c>
      <c r="D25" s="81">
        <v>10851.31</v>
      </c>
      <c r="E25" s="81">
        <v>22774.25</v>
      </c>
      <c r="F25" s="81">
        <v>558253.24</v>
      </c>
      <c r="G25" s="81">
        <v>733351.17</v>
      </c>
      <c r="H25" s="81">
        <f t="shared" si="1"/>
        <v>880021.40399999998</v>
      </c>
      <c r="I25" s="82">
        <f t="shared" si="2"/>
        <v>6580402.9282</v>
      </c>
      <c r="J25" s="83">
        <f t="shared" si="3"/>
        <v>7896483.5138399992</v>
      </c>
      <c r="K25" s="78">
        <v>19.489999999999998</v>
      </c>
      <c r="L25" s="82">
        <f t="shared" si="4"/>
        <v>2757296.4912999999</v>
      </c>
      <c r="M25" s="78">
        <v>10.17</v>
      </c>
      <c r="N25" s="82">
        <f t="shared" si="5"/>
        <v>110357.82269999999</v>
      </c>
      <c r="O25" s="78">
        <v>7.86</v>
      </c>
      <c r="P25" s="82">
        <f t="shared" si="6"/>
        <v>179005.60500000001</v>
      </c>
      <c r="Q25" s="79">
        <v>6.33</v>
      </c>
      <c r="R25" s="82">
        <f t="shared" si="7"/>
        <v>3533743.0092000002</v>
      </c>
      <c r="S25" s="42">
        <f t="shared" si="8"/>
        <v>3046659.9189999998</v>
      </c>
    </row>
    <row r="26" spans="1:19" x14ac:dyDescent="0.25">
      <c r="A26" s="80">
        <v>23</v>
      </c>
      <c r="B26" s="80" t="s">
        <v>116</v>
      </c>
      <c r="C26" s="81">
        <f t="shared" si="0"/>
        <v>168573.96000000008</v>
      </c>
      <c r="D26" s="81">
        <v>11550.99</v>
      </c>
      <c r="E26" s="81">
        <v>23000.86</v>
      </c>
      <c r="F26" s="81">
        <v>579766.18999999994</v>
      </c>
      <c r="G26" s="81">
        <v>782892</v>
      </c>
      <c r="H26" s="81">
        <f t="shared" si="1"/>
        <v>939470.4</v>
      </c>
      <c r="I26" s="82">
        <f t="shared" si="2"/>
        <v>7253686.7910000011</v>
      </c>
      <c r="J26" s="83">
        <f t="shared" si="3"/>
        <v>8704424.1492000017</v>
      </c>
      <c r="K26" s="78">
        <v>19.489999999999998</v>
      </c>
      <c r="L26" s="82">
        <f t="shared" si="4"/>
        <v>3285506.4804000012</v>
      </c>
      <c r="M26" s="78">
        <v>10.17</v>
      </c>
      <c r="N26" s="82">
        <f t="shared" si="5"/>
        <v>117473.5683</v>
      </c>
      <c r="O26" s="78">
        <v>7.86</v>
      </c>
      <c r="P26" s="88">
        <f t="shared" si="6"/>
        <v>180786.75960000002</v>
      </c>
      <c r="Q26" s="79">
        <v>6.33</v>
      </c>
      <c r="R26" s="82">
        <f t="shared" si="7"/>
        <v>3669919.9826999996</v>
      </c>
      <c r="S26" s="42">
        <f t="shared" si="8"/>
        <v>3583766.8083000015</v>
      </c>
    </row>
    <row r="27" spans="1:19" x14ac:dyDescent="0.25">
      <c r="A27" s="80">
        <v>24</v>
      </c>
      <c r="B27" s="80" t="s">
        <v>117</v>
      </c>
      <c r="C27" s="81">
        <f t="shared" si="0"/>
        <v>206752.33000000007</v>
      </c>
      <c r="D27" s="81">
        <v>11592.12</v>
      </c>
      <c r="E27" s="81">
        <v>23000.86</v>
      </c>
      <c r="F27" s="81">
        <v>751744.6</v>
      </c>
      <c r="G27" s="81">
        <v>993089.91</v>
      </c>
      <c r="H27" s="81">
        <f t="shared" si="1"/>
        <v>1191707.892</v>
      </c>
      <c r="I27" s="88">
        <f t="shared" si="2"/>
        <v>9086824.8497000001</v>
      </c>
      <c r="J27" s="83">
        <f t="shared" si="3"/>
        <v>10904189.819639999</v>
      </c>
      <c r="K27" s="78">
        <v>19.489999999999998</v>
      </c>
      <c r="L27" s="88">
        <f t="shared" si="4"/>
        <v>4029602.911700001</v>
      </c>
      <c r="M27" s="78">
        <v>10.17</v>
      </c>
      <c r="N27" s="88">
        <f t="shared" si="5"/>
        <v>117891.86040000001</v>
      </c>
      <c r="O27" s="78">
        <v>7.86</v>
      </c>
      <c r="P27" s="88">
        <f t="shared" si="6"/>
        <v>180786.75960000002</v>
      </c>
      <c r="Q27" s="79">
        <v>6.33</v>
      </c>
      <c r="R27" s="88">
        <f t="shared" si="7"/>
        <v>4758543.318</v>
      </c>
      <c r="S27" s="42">
        <f t="shared" si="8"/>
        <v>4328281.5317000002</v>
      </c>
    </row>
    <row r="28" spans="1:19" x14ac:dyDescent="0.25">
      <c r="A28" s="80">
        <v>25</v>
      </c>
      <c r="B28" s="80" t="s">
        <v>118</v>
      </c>
      <c r="C28" s="81">
        <f t="shared" si="0"/>
        <v>244314.25</v>
      </c>
      <c r="D28" s="81">
        <v>12752.94</v>
      </c>
      <c r="E28" s="81">
        <v>23843.22</v>
      </c>
      <c r="F28" s="81">
        <v>902093.53</v>
      </c>
      <c r="G28" s="81">
        <v>1183003.94</v>
      </c>
      <c r="H28" s="81">
        <f t="shared" si="1"/>
        <v>1419604.7279999999</v>
      </c>
      <c r="I28" s="88">
        <f t="shared" si="2"/>
        <v>10789041.886399999</v>
      </c>
      <c r="J28" s="83">
        <f t="shared" si="3"/>
        <v>12946850.263679998</v>
      </c>
      <c r="K28" s="78">
        <v>19.489999999999998</v>
      </c>
      <c r="L28" s="88">
        <f t="shared" si="4"/>
        <v>4761684.7324999999</v>
      </c>
      <c r="M28" s="78">
        <v>10.17</v>
      </c>
      <c r="N28" s="88">
        <f t="shared" si="5"/>
        <v>129697.3998</v>
      </c>
      <c r="O28" s="78">
        <v>7.86</v>
      </c>
      <c r="P28" s="88">
        <f t="shared" si="6"/>
        <v>187407.70920000001</v>
      </c>
      <c r="Q28" s="79">
        <v>6.33</v>
      </c>
      <c r="R28" s="88">
        <f t="shared" si="7"/>
        <v>5710252.0449000001</v>
      </c>
      <c r="S28" s="42">
        <f t="shared" si="8"/>
        <v>5078789.8414999992</v>
      </c>
    </row>
    <row r="29" spans="1:19" x14ac:dyDescent="0.25">
      <c r="A29" s="80">
        <v>26</v>
      </c>
      <c r="B29" s="80" t="s">
        <v>119</v>
      </c>
      <c r="C29" s="81">
        <f t="shared" si="0"/>
        <v>265036.44000000018</v>
      </c>
      <c r="D29" s="81">
        <v>17801.900000000001</v>
      </c>
      <c r="E29" s="81">
        <v>26781.48</v>
      </c>
      <c r="F29" s="81">
        <v>847122.3</v>
      </c>
      <c r="G29" s="81">
        <v>1156742.1200000001</v>
      </c>
      <c r="H29" s="81">
        <f t="shared" si="1"/>
        <v>1388090.544</v>
      </c>
      <c r="I29" s="88">
        <f>L29+N29+P29+R29</f>
        <v>10919392.130400002</v>
      </c>
      <c r="J29" s="83">
        <f t="shared" si="3"/>
        <v>13103270.556480002</v>
      </c>
      <c r="K29" s="78">
        <v>19.489999999999998</v>
      </c>
      <c r="L29" s="88">
        <f t="shared" si="4"/>
        <v>5165560.2156000035</v>
      </c>
      <c r="M29" s="78">
        <v>10.17</v>
      </c>
      <c r="N29" s="88">
        <f t="shared" si="5"/>
        <v>181045.323</v>
      </c>
      <c r="O29" s="78">
        <v>7.86</v>
      </c>
      <c r="P29" s="88">
        <f t="shared" si="6"/>
        <v>210502.43280000001</v>
      </c>
      <c r="Q29" s="79">
        <v>6.33</v>
      </c>
      <c r="R29" s="88">
        <f t="shared" si="7"/>
        <v>5362284.159</v>
      </c>
      <c r="S29" s="42">
        <f t="shared" si="8"/>
        <v>5557107.971400002</v>
      </c>
    </row>
    <row r="30" spans="1:19" x14ac:dyDescent="0.25">
      <c r="A30" s="80">
        <v>27</v>
      </c>
      <c r="B30" s="80" t="s">
        <v>120</v>
      </c>
      <c r="C30" s="81">
        <f t="shared" si="0"/>
        <v>278349.95999999985</v>
      </c>
      <c r="D30" s="81">
        <v>15558.61</v>
      </c>
      <c r="E30" s="81">
        <v>40644.050000000003</v>
      </c>
      <c r="F30" s="81">
        <v>1001624.1</v>
      </c>
      <c r="G30" s="81">
        <v>1336176.72</v>
      </c>
      <c r="H30" s="81">
        <f t="shared" si="1"/>
        <v>1603412.064</v>
      </c>
      <c r="I30" s="88">
        <f t="shared" si="2"/>
        <v>12243014.570099996</v>
      </c>
      <c r="J30" s="83">
        <f t="shared" si="3"/>
        <v>14691617.484119995</v>
      </c>
      <c r="K30" s="78">
        <v>19.489999999999998</v>
      </c>
      <c r="L30" s="88">
        <f t="shared" si="4"/>
        <v>5425040.7203999963</v>
      </c>
      <c r="M30" s="78">
        <v>10.17</v>
      </c>
      <c r="N30" s="88">
        <f t="shared" si="5"/>
        <v>158231.0637</v>
      </c>
      <c r="O30" s="78">
        <v>7.86</v>
      </c>
      <c r="P30" s="88">
        <f t="shared" si="6"/>
        <v>319462.23300000001</v>
      </c>
      <c r="Q30" s="79">
        <v>6.33</v>
      </c>
      <c r="R30" s="88">
        <f t="shared" si="7"/>
        <v>6340280.5530000003</v>
      </c>
      <c r="S30" s="42">
        <f t="shared" si="8"/>
        <v>5902734.0170999961</v>
      </c>
    </row>
    <row r="31" spans="1:19" x14ac:dyDescent="0.25">
      <c r="A31" s="80">
        <v>28</v>
      </c>
      <c r="B31" s="80" t="s">
        <v>121</v>
      </c>
      <c r="C31" s="81">
        <f t="shared" si="0"/>
        <v>291214.65000000014</v>
      </c>
      <c r="D31" s="81">
        <v>16952.400000000001</v>
      </c>
      <c r="E31" s="81">
        <v>41109.129999999997</v>
      </c>
      <c r="F31" s="81">
        <v>1052800.3600000001</v>
      </c>
      <c r="G31" s="81">
        <v>1402076.54</v>
      </c>
      <c r="H31" s="81">
        <f t="shared" si="1"/>
        <v>1682491.848</v>
      </c>
      <c r="I31" s="88">
        <f t="shared" si="2"/>
        <v>12835523.477100004</v>
      </c>
      <c r="J31" s="83">
        <f t="shared" si="3"/>
        <v>15402628.172520004</v>
      </c>
      <c r="K31" s="78">
        <v>19.489999999999998</v>
      </c>
      <c r="L31" s="88">
        <f t="shared" si="4"/>
        <v>5675773.5285000019</v>
      </c>
      <c r="M31" s="78">
        <v>10.17</v>
      </c>
      <c r="N31" s="88">
        <f t="shared" si="5"/>
        <v>172405.90800000002</v>
      </c>
      <c r="O31" s="78">
        <v>7.86</v>
      </c>
      <c r="P31" s="88">
        <f t="shared" si="6"/>
        <v>323117.76179999998</v>
      </c>
      <c r="Q31" s="79">
        <v>6.33</v>
      </c>
      <c r="R31" s="88">
        <f t="shared" si="7"/>
        <v>6664226.2788000004</v>
      </c>
      <c r="S31" s="42">
        <f t="shared" si="8"/>
        <v>6171297.1983000031</v>
      </c>
    </row>
    <row r="32" spans="1:19" x14ac:dyDescent="0.25">
      <c r="A32" s="80">
        <v>29</v>
      </c>
      <c r="B32" s="80" t="s">
        <v>122</v>
      </c>
      <c r="C32" s="81">
        <f t="shared" si="0"/>
        <v>333527.68999999994</v>
      </c>
      <c r="D32" s="81">
        <v>16993.55</v>
      </c>
      <c r="E32" s="81">
        <v>37245.769999999997</v>
      </c>
      <c r="F32" s="81">
        <v>1365130.04</v>
      </c>
      <c r="G32" s="81">
        <v>1752897.05</v>
      </c>
      <c r="H32" s="81">
        <f t="shared" si="1"/>
        <v>2103476.46</v>
      </c>
      <c r="I32" s="88">
        <f t="shared" si="2"/>
        <v>15607303.987</v>
      </c>
      <c r="J32" s="83">
        <f t="shared" si="3"/>
        <v>18728764.784399997</v>
      </c>
      <c r="K32" s="78">
        <v>19.489999999999998</v>
      </c>
      <c r="L32" s="88">
        <f t="shared" si="4"/>
        <v>6500454.6780999983</v>
      </c>
      <c r="M32" s="78">
        <v>10.17</v>
      </c>
      <c r="N32" s="88">
        <f t="shared" si="5"/>
        <v>172824.40349999999</v>
      </c>
      <c r="O32" s="78">
        <v>7.86</v>
      </c>
      <c r="P32" s="88">
        <f t="shared" si="6"/>
        <v>292751.75219999999</v>
      </c>
      <c r="Q32" s="79">
        <v>6.33</v>
      </c>
      <c r="R32" s="88">
        <f t="shared" si="7"/>
        <v>8641273.1532000005</v>
      </c>
      <c r="S32" s="42">
        <f t="shared" si="8"/>
        <v>6966030.8337999992</v>
      </c>
    </row>
    <row r="33" spans="1:19" x14ac:dyDescent="0.25">
      <c r="A33" s="84">
        <v>30</v>
      </c>
      <c r="B33" s="84" t="s">
        <v>71</v>
      </c>
      <c r="C33" s="85">
        <f t="shared" si="0"/>
        <v>382764.23297756026</v>
      </c>
      <c r="D33" s="85">
        <f>17020.95*1.025*1.021*1.03</f>
        <v>18347.235189712501</v>
      </c>
      <c r="E33" s="85">
        <f>37245.77*1.025*1.021*1.03</f>
        <v>40147.988332727487</v>
      </c>
      <c r="F33" s="85">
        <f>2083183.45*1.03</f>
        <v>2145678.9534999998</v>
      </c>
      <c r="G33" s="85">
        <v>2586938.41</v>
      </c>
      <c r="H33" s="85">
        <f t="shared" si="1"/>
        <v>3104326.0920000002</v>
      </c>
      <c r="I33" s="89">
        <f t="shared" si="2"/>
        <v>21544377.246562261</v>
      </c>
      <c r="J33" s="87">
        <f t="shared" si="3"/>
        <v>25853252.695874713</v>
      </c>
      <c r="K33" s="78">
        <v>19.489999999999998</v>
      </c>
      <c r="L33" s="89">
        <f t="shared" si="4"/>
        <v>7460074.9007326486</v>
      </c>
      <c r="M33" s="78">
        <v>10.17</v>
      </c>
      <c r="N33" s="89">
        <f t="shared" si="5"/>
        <v>186591.38187937613</v>
      </c>
      <c r="O33" s="78">
        <v>7.86</v>
      </c>
      <c r="P33" s="89">
        <f t="shared" si="6"/>
        <v>315563.18829523807</v>
      </c>
      <c r="Q33" s="79">
        <v>6.33</v>
      </c>
      <c r="R33" s="89">
        <f t="shared" si="7"/>
        <v>13582147.775655</v>
      </c>
      <c r="S33" s="42">
        <f t="shared" si="8"/>
        <v>7962229.4709072616</v>
      </c>
    </row>
    <row r="34" spans="1:19" x14ac:dyDescent="0.25">
      <c r="A34" s="80">
        <v>31</v>
      </c>
      <c r="B34" s="80" t="s">
        <v>123</v>
      </c>
      <c r="C34" s="81">
        <f t="shared" si="0"/>
        <v>486629.93000000017</v>
      </c>
      <c r="D34" s="81">
        <v>17048.37</v>
      </c>
      <c r="E34" s="81">
        <v>37245.769999999997</v>
      </c>
      <c r="F34" s="81">
        <v>2279429.38</v>
      </c>
      <c r="G34" s="81">
        <v>2820353.45</v>
      </c>
      <c r="H34" s="81">
        <f t="shared" si="1"/>
        <v>3384424.14</v>
      </c>
      <c r="I34" s="88">
        <f t="shared" si="2"/>
        <v>24379338.986200005</v>
      </c>
      <c r="J34" s="83">
        <f t="shared" si="3"/>
        <v>29255206.783440005</v>
      </c>
      <c r="K34" s="78">
        <v>19.489999999999998</v>
      </c>
      <c r="L34" s="88">
        <f t="shared" si="4"/>
        <v>9484417.3357000034</v>
      </c>
      <c r="M34" s="78">
        <v>10.17</v>
      </c>
      <c r="N34" s="88">
        <f t="shared" si="5"/>
        <v>173381.92289999998</v>
      </c>
      <c r="O34" s="78">
        <v>7.86</v>
      </c>
      <c r="P34" s="88">
        <f t="shared" si="6"/>
        <v>292751.75219999999</v>
      </c>
      <c r="Q34" s="79">
        <v>6.33</v>
      </c>
      <c r="R34" s="88">
        <f t="shared" si="7"/>
        <v>14428787.975399999</v>
      </c>
      <c r="S34" s="42">
        <f t="shared" si="8"/>
        <v>9950551.0108000059</v>
      </c>
    </row>
    <row r="35" spans="1:19" x14ac:dyDescent="0.25">
      <c r="A35" s="80">
        <v>32</v>
      </c>
      <c r="B35" s="80" t="s">
        <v>72</v>
      </c>
      <c r="C35" s="81">
        <f t="shared" si="0"/>
        <v>603260.09000000032</v>
      </c>
      <c r="D35" s="81">
        <v>27136.9</v>
      </c>
      <c r="E35" s="81">
        <v>40260.78</v>
      </c>
      <c r="F35" s="81">
        <v>2408273.37</v>
      </c>
      <c r="G35" s="81">
        <v>3078931.14</v>
      </c>
      <c r="H35" s="81">
        <f t="shared" si="1"/>
        <v>3694717.3680000002</v>
      </c>
      <c r="I35" s="88">
        <f>L35+N35+P35+R35</f>
        <v>27594341.590000007</v>
      </c>
      <c r="J35" s="83">
        <f t="shared" si="3"/>
        <v>33113209.908000007</v>
      </c>
      <c r="K35" s="78">
        <v>19.489999999999998</v>
      </c>
      <c r="L35" s="88">
        <f t="shared" si="4"/>
        <v>11757539.154100005</v>
      </c>
      <c r="M35" s="78">
        <v>10.17</v>
      </c>
      <c r="N35" s="88">
        <f t="shared" si="5"/>
        <v>275982.27299999999</v>
      </c>
      <c r="O35" s="78">
        <v>7.86</v>
      </c>
      <c r="P35" s="88">
        <f t="shared" si="6"/>
        <v>316449.73080000002</v>
      </c>
      <c r="Q35" s="79">
        <v>6.33</v>
      </c>
      <c r="R35" s="88">
        <f t="shared" si="7"/>
        <v>15244370.432100002</v>
      </c>
      <c r="S35" s="42">
        <f t="shared" si="8"/>
        <v>12349971.157900006</v>
      </c>
    </row>
    <row r="36" spans="1:19" x14ac:dyDescent="0.25">
      <c r="A36" s="84">
        <v>33</v>
      </c>
      <c r="B36" s="84" t="s">
        <v>325</v>
      </c>
      <c r="C36" s="85">
        <f t="shared" si="0"/>
        <v>556044.72393143503</v>
      </c>
      <c r="D36" s="85">
        <f>27136.9*1.025*1.021*1.03</f>
        <v>29251.427600674997</v>
      </c>
      <c r="E36" s="85">
        <f>46551.32*1.025*1.021*1.03</f>
        <v>50178.633767889994</v>
      </c>
      <c r="F36" s="85">
        <f>2588129.49*1.03</f>
        <v>2665773.3747000005</v>
      </c>
      <c r="G36" s="85">
        <v>3301248.16</v>
      </c>
      <c r="H36" s="85">
        <f t="shared" si="1"/>
        <v>3961497.7919999999</v>
      </c>
      <c r="I36" s="89">
        <f t="shared" ref="I36:I37" si="9">L36+N36+P36+R36</f>
        <v>28403548.211389154</v>
      </c>
      <c r="J36" s="87">
        <f t="shared" si="3"/>
        <v>34084257.853666984</v>
      </c>
      <c r="K36" s="78">
        <v>19.489999999999998</v>
      </c>
      <c r="L36" s="89">
        <f t="shared" si="4"/>
        <v>10837311.669423668</v>
      </c>
      <c r="M36" s="78">
        <v>10.17</v>
      </c>
      <c r="N36" s="89">
        <f t="shared" si="5"/>
        <v>297487.01869886473</v>
      </c>
      <c r="O36" s="78">
        <v>7.86</v>
      </c>
      <c r="P36" s="89">
        <f t="shared" si="6"/>
        <v>394404.06141561538</v>
      </c>
      <c r="Q36" s="79">
        <v>6.33</v>
      </c>
      <c r="R36" s="89">
        <f t="shared" si="7"/>
        <v>16874345.461851005</v>
      </c>
      <c r="S36" s="42">
        <f t="shared" si="8"/>
        <v>11529202.74953815</v>
      </c>
    </row>
    <row r="37" spans="1:19" x14ac:dyDescent="0.25">
      <c r="A37" s="80">
        <v>34</v>
      </c>
      <c r="B37" s="80" t="s">
        <v>326</v>
      </c>
      <c r="C37" s="81">
        <f t="shared" si="0"/>
        <v>845834.39999999944</v>
      </c>
      <c r="D37" s="81">
        <v>27136.9</v>
      </c>
      <c r="E37" s="81">
        <v>46551.32</v>
      </c>
      <c r="F37" s="81">
        <v>3533116.01</v>
      </c>
      <c r="G37" s="81">
        <v>4452638.63</v>
      </c>
      <c r="H37" s="81">
        <f t="shared" si="1"/>
        <v>5343166.3559999997</v>
      </c>
      <c r="I37" s="88">
        <f t="shared" si="9"/>
        <v>39491812.44749999</v>
      </c>
      <c r="J37" s="83">
        <f t="shared" si="3"/>
        <v>47390174.936999984</v>
      </c>
      <c r="K37" s="78">
        <v>19.489999999999998</v>
      </c>
      <c r="L37" s="88">
        <f t="shared" si="4"/>
        <v>16485312.455999987</v>
      </c>
      <c r="M37" s="78">
        <v>10.17</v>
      </c>
      <c r="N37" s="88">
        <f t="shared" si="5"/>
        <v>275982.27299999999</v>
      </c>
      <c r="O37" s="78">
        <v>7.86</v>
      </c>
      <c r="P37" s="88">
        <f t="shared" si="6"/>
        <v>365893.37520000001</v>
      </c>
      <c r="Q37" s="79">
        <v>6.33</v>
      </c>
      <c r="R37" s="88">
        <f t="shared" si="7"/>
        <v>22364624.3433</v>
      </c>
      <c r="S37" s="42">
        <f>I37-R37</f>
        <v>17127188.104199991</v>
      </c>
    </row>
    <row r="38" spans="1:19" x14ac:dyDescent="0.25">
      <c r="A38" s="80">
        <v>35</v>
      </c>
      <c r="B38" s="80" t="s">
        <v>124</v>
      </c>
      <c r="C38" s="81">
        <f t="shared" si="0"/>
        <v>428812.73000000045</v>
      </c>
      <c r="D38" s="81">
        <v>18943.169999999998</v>
      </c>
      <c r="E38" s="81">
        <v>51287.63</v>
      </c>
      <c r="F38" s="81">
        <v>3328823.84</v>
      </c>
      <c r="G38" s="81">
        <v>3827867.37</v>
      </c>
      <c r="H38" s="81">
        <f t="shared" si="1"/>
        <v>4593440.8439999996</v>
      </c>
      <c r="I38" s="88">
        <f t="shared" si="2"/>
        <v>30024787.825600006</v>
      </c>
      <c r="J38" s="83">
        <f t="shared" si="3"/>
        <v>36029745.390720002</v>
      </c>
      <c r="K38" s="78">
        <v>19.489999999999998</v>
      </c>
      <c r="L38" s="88">
        <f t="shared" si="4"/>
        <v>8357560.107700008</v>
      </c>
      <c r="M38" s="78">
        <v>10.17</v>
      </c>
      <c r="N38" s="88">
        <f t="shared" si="5"/>
        <v>192652.03889999999</v>
      </c>
      <c r="O38" s="78">
        <v>7.86</v>
      </c>
      <c r="P38" s="88">
        <f t="shared" si="6"/>
        <v>403120.77179999999</v>
      </c>
      <c r="Q38" s="79">
        <v>6.33</v>
      </c>
      <c r="R38" s="88">
        <f t="shared" si="7"/>
        <v>21071454.907199997</v>
      </c>
      <c r="S38" s="42">
        <f t="shared" si="8"/>
        <v>8953332.9184000082</v>
      </c>
    </row>
    <row r="39" spans="1:19" x14ac:dyDescent="0.25">
      <c r="A39" s="80">
        <v>36</v>
      </c>
      <c r="B39" s="80" t="s">
        <v>125</v>
      </c>
      <c r="C39" s="81">
        <f t="shared" si="0"/>
        <v>633158.52</v>
      </c>
      <c r="D39" s="81">
        <v>65824.08</v>
      </c>
      <c r="E39" s="81">
        <v>113403.12</v>
      </c>
      <c r="F39" s="81">
        <v>3684699.28</v>
      </c>
      <c r="G39" s="81">
        <v>4497085</v>
      </c>
      <c r="H39" s="81">
        <f t="shared" si="1"/>
        <v>5396502</v>
      </c>
      <c r="I39" s="88">
        <f t="shared" si="2"/>
        <v>37225185.413999997</v>
      </c>
      <c r="J39" s="83">
        <f t="shared" si="3"/>
        <v>44670222.496799998</v>
      </c>
      <c r="K39" s="78">
        <v>19.489999999999998</v>
      </c>
      <c r="L39" s="82">
        <f t="shared" si="4"/>
        <v>12340259.5548</v>
      </c>
      <c r="M39" s="78">
        <v>10.17</v>
      </c>
      <c r="N39" s="82">
        <f t="shared" si="5"/>
        <v>669430.89360000007</v>
      </c>
      <c r="O39" s="78">
        <v>7.86</v>
      </c>
      <c r="P39" s="82">
        <f t="shared" si="6"/>
        <v>891348.52320000005</v>
      </c>
      <c r="Q39" s="79">
        <v>6.33</v>
      </c>
      <c r="R39" s="82">
        <f t="shared" si="7"/>
        <v>23324146.442399997</v>
      </c>
      <c r="S39" s="42">
        <f t="shared" si="8"/>
        <v>13901038.9716</v>
      </c>
    </row>
    <row r="40" spans="1:19" x14ac:dyDescent="0.25">
      <c r="A40" s="80">
        <v>37</v>
      </c>
      <c r="B40" s="80" t="s">
        <v>126</v>
      </c>
      <c r="C40" s="81">
        <f t="shared" si="0"/>
        <v>1114015.3599999994</v>
      </c>
      <c r="D40" s="81">
        <v>82664.539999999994</v>
      </c>
      <c r="E40" s="81">
        <v>223825.16</v>
      </c>
      <c r="F40" s="81">
        <v>6239632.9400000004</v>
      </c>
      <c r="G40" s="81">
        <v>7660138</v>
      </c>
      <c r="H40" s="81">
        <f t="shared" si="1"/>
        <v>9192165.5999999996</v>
      </c>
      <c r="I40" s="82">
        <f t="shared" si="2"/>
        <v>63809000.00599999</v>
      </c>
      <c r="J40" s="83">
        <f t="shared" si="3"/>
        <v>76570800.007199988</v>
      </c>
      <c r="K40" s="78">
        <v>19.489999999999998</v>
      </c>
      <c r="L40" s="82">
        <f t="shared" si="4"/>
        <v>21712159.366399985</v>
      </c>
      <c r="M40" s="78">
        <v>10.17</v>
      </c>
      <c r="N40" s="82">
        <f t="shared" si="5"/>
        <v>840698.37179999996</v>
      </c>
      <c r="O40" s="78">
        <v>7.86</v>
      </c>
      <c r="P40" s="82">
        <f t="shared" si="6"/>
        <v>1759265.7576000001</v>
      </c>
      <c r="Q40" s="79">
        <v>6.33</v>
      </c>
      <c r="R40" s="82">
        <f t="shared" si="7"/>
        <v>39496876.510200001</v>
      </c>
      <c r="S40" s="42">
        <f t="shared" si="8"/>
        <v>24312123.495799989</v>
      </c>
    </row>
    <row r="41" spans="1:19" x14ac:dyDescent="0.25">
      <c r="A41" s="80">
        <v>38</v>
      </c>
      <c r="B41" s="80" t="s">
        <v>127</v>
      </c>
      <c r="C41" s="81">
        <f t="shared" si="0"/>
        <v>475386.12000000011</v>
      </c>
      <c r="D41" s="81">
        <v>53067.199999999997</v>
      </c>
      <c r="E41" s="81">
        <v>112921.88</v>
      </c>
      <c r="F41" s="81">
        <v>3153399.28</v>
      </c>
      <c r="G41" s="81">
        <v>3794774.48</v>
      </c>
      <c r="H41" s="81">
        <f t="shared" si="1"/>
        <v>4553729.3760000002</v>
      </c>
      <c r="I41" s="82">
        <f t="shared" si="2"/>
        <v>30653552.321999997</v>
      </c>
      <c r="J41" s="83">
        <f t="shared" si="3"/>
        <v>36784262.786399998</v>
      </c>
      <c r="K41" s="78">
        <v>19.489999999999998</v>
      </c>
      <c r="L41" s="82">
        <f t="shared" si="4"/>
        <v>9265275.4788000006</v>
      </c>
      <c r="M41" s="78">
        <v>10.17</v>
      </c>
      <c r="N41" s="82">
        <f t="shared" si="5"/>
        <v>539693.424</v>
      </c>
      <c r="O41" s="78">
        <v>7.86</v>
      </c>
      <c r="P41" s="82">
        <f t="shared" si="6"/>
        <v>887565.97680000006</v>
      </c>
      <c r="Q41" s="79">
        <v>6.33</v>
      </c>
      <c r="R41" s="82">
        <f t="shared" si="7"/>
        <v>19961017.442399997</v>
      </c>
      <c r="S41" s="42">
        <f t="shared" si="8"/>
        <v>10692534.8796</v>
      </c>
    </row>
    <row r="42" spans="1:19" x14ac:dyDescent="0.25">
      <c r="A42" s="80">
        <v>39</v>
      </c>
      <c r="B42" s="80" t="s">
        <v>128</v>
      </c>
      <c r="C42" s="81">
        <f t="shared" si="0"/>
        <v>357369.05000000028</v>
      </c>
      <c r="D42" s="81">
        <v>40906.03</v>
      </c>
      <c r="E42" s="81">
        <v>111464.44</v>
      </c>
      <c r="F42" s="81">
        <v>2056916.83</v>
      </c>
      <c r="G42" s="81">
        <v>2566656.35</v>
      </c>
      <c r="H42" s="81">
        <f t="shared" si="1"/>
        <v>3079987.62</v>
      </c>
      <c r="I42" s="82">
        <f t="shared" si="2"/>
        <v>21277531.141900003</v>
      </c>
      <c r="J42" s="83">
        <f t="shared" si="3"/>
        <v>25533037.370280001</v>
      </c>
      <c r="K42" s="78">
        <v>19.489999999999998</v>
      </c>
      <c r="L42" s="82">
        <f t="shared" si="4"/>
        <v>6965122.7845000047</v>
      </c>
      <c r="M42" s="78">
        <v>10.17</v>
      </c>
      <c r="N42" s="82">
        <f t="shared" si="5"/>
        <v>416014.32509999996</v>
      </c>
      <c r="O42" s="78">
        <v>7.86</v>
      </c>
      <c r="P42" s="82">
        <f t="shared" si="6"/>
        <v>876110.49840000004</v>
      </c>
      <c r="Q42" s="79">
        <v>6.33</v>
      </c>
      <c r="R42" s="82">
        <f t="shared" si="7"/>
        <v>13020283.5339</v>
      </c>
      <c r="S42" s="42">
        <f t="shared" si="8"/>
        <v>8257247.6080000028</v>
      </c>
    </row>
    <row r="43" spans="1:19" x14ac:dyDescent="0.25">
      <c r="A43" s="80">
        <v>40</v>
      </c>
      <c r="B43" s="80" t="s">
        <v>129</v>
      </c>
      <c r="C43" s="81">
        <f t="shared" si="0"/>
        <v>40934.960000000021</v>
      </c>
      <c r="D43" s="81">
        <v>3401.01</v>
      </c>
      <c r="E43" s="81">
        <v>13321.61</v>
      </c>
      <c r="F43" s="81">
        <v>225889.8</v>
      </c>
      <c r="G43" s="81">
        <v>283547.38</v>
      </c>
      <c r="H43" s="81">
        <f t="shared" si="1"/>
        <v>340256.85599999997</v>
      </c>
      <c r="I43" s="82">
        <f t="shared" si="2"/>
        <v>2367000.9307000004</v>
      </c>
      <c r="J43" s="83">
        <f t="shared" si="3"/>
        <v>2840401.1168400003</v>
      </c>
      <c r="K43" s="78">
        <v>19.489999999999998</v>
      </c>
      <c r="L43" s="82">
        <f t="shared" si="4"/>
        <v>797822.37040000036</v>
      </c>
      <c r="M43" s="78">
        <v>10.17</v>
      </c>
      <c r="N43" s="82">
        <f t="shared" si="5"/>
        <v>34588.271700000005</v>
      </c>
      <c r="O43" s="78">
        <v>7.86</v>
      </c>
      <c r="P43" s="82">
        <f t="shared" si="6"/>
        <v>104707.85460000001</v>
      </c>
      <c r="Q43" s="79">
        <v>6.33</v>
      </c>
      <c r="R43" s="82">
        <f t="shared" si="7"/>
        <v>1429882.4339999999</v>
      </c>
      <c r="S43" s="42">
        <f t="shared" si="8"/>
        <v>937118.49670000048</v>
      </c>
    </row>
    <row r="44" spans="1:19" x14ac:dyDescent="0.25">
      <c r="A44" s="80">
        <v>41</v>
      </c>
      <c r="B44" s="80" t="s">
        <v>130</v>
      </c>
      <c r="C44" s="81">
        <f t="shared" si="0"/>
        <v>16131.400000000001</v>
      </c>
      <c r="D44" s="81">
        <v>1992.67</v>
      </c>
      <c r="E44" s="81">
        <v>13321.61</v>
      </c>
      <c r="F44" s="81">
        <v>46983.82</v>
      </c>
      <c r="G44" s="81">
        <v>78429.5</v>
      </c>
      <c r="H44" s="81">
        <f t="shared" si="1"/>
        <v>94115.4</v>
      </c>
      <c r="I44" s="82">
        <f t="shared" si="2"/>
        <v>736781.87510000006</v>
      </c>
      <c r="J44" s="83">
        <f t="shared" si="3"/>
        <v>884138.2501200001</v>
      </c>
      <c r="K44" s="78">
        <v>19.489999999999998</v>
      </c>
      <c r="L44" s="82">
        <f t="shared" si="4"/>
        <v>314400.98599999998</v>
      </c>
      <c r="M44" s="78">
        <v>10.17</v>
      </c>
      <c r="N44" s="82">
        <f t="shared" si="5"/>
        <v>20265.4539</v>
      </c>
      <c r="O44" s="78">
        <v>7.86</v>
      </c>
      <c r="P44" s="82">
        <f t="shared" si="6"/>
        <v>104707.85460000001</v>
      </c>
      <c r="Q44" s="79">
        <v>6.33</v>
      </c>
      <c r="R44" s="82">
        <f t="shared" si="7"/>
        <v>297407.58059999999</v>
      </c>
      <c r="S44" s="42">
        <f t="shared" si="8"/>
        <v>439374.29450000008</v>
      </c>
    </row>
    <row r="45" spans="1:19" x14ac:dyDescent="0.25">
      <c r="A45" s="80">
        <v>42</v>
      </c>
      <c r="B45" s="80" t="s">
        <v>131</v>
      </c>
      <c r="C45" s="81">
        <f t="shared" si="0"/>
        <v>37254.920000000042</v>
      </c>
      <c r="D45" s="81">
        <v>2286.4899999999998</v>
      </c>
      <c r="E45" s="81">
        <v>13321.61</v>
      </c>
      <c r="F45" s="81">
        <v>207089.37</v>
      </c>
      <c r="G45" s="81">
        <v>259952.39</v>
      </c>
      <c r="H45" s="81">
        <f t="shared" si="1"/>
        <v>311942.86800000002</v>
      </c>
      <c r="I45" s="82">
        <f t="shared" si="2"/>
        <v>2164935.5608000006</v>
      </c>
      <c r="J45" s="83">
        <f t="shared" si="3"/>
        <v>2597922.6729600006</v>
      </c>
      <c r="K45" s="78">
        <v>19.489999999999998</v>
      </c>
      <c r="L45" s="82">
        <f t="shared" si="4"/>
        <v>726098.39080000075</v>
      </c>
      <c r="M45" s="78">
        <v>10.17</v>
      </c>
      <c r="N45" s="82">
        <f t="shared" si="5"/>
        <v>23253.603299999999</v>
      </c>
      <c r="O45" s="78">
        <v>7.86</v>
      </c>
      <c r="P45" s="82">
        <f t="shared" si="6"/>
        <v>104707.85460000001</v>
      </c>
      <c r="Q45" s="79">
        <v>6.33</v>
      </c>
      <c r="R45" s="82">
        <f t="shared" si="7"/>
        <v>1310875.7120999999</v>
      </c>
      <c r="S45" s="42">
        <f t="shared" si="8"/>
        <v>854059.84870000067</v>
      </c>
    </row>
    <row r="46" spans="1:19" x14ac:dyDescent="0.25">
      <c r="A46" s="80">
        <v>43</v>
      </c>
      <c r="B46" s="80" t="s">
        <v>70</v>
      </c>
      <c r="C46" s="81">
        <f t="shared" si="0"/>
        <v>25730.209999999992</v>
      </c>
      <c r="D46" s="81">
        <v>1138.1600000000001</v>
      </c>
      <c r="E46" s="81">
        <v>25716.22</v>
      </c>
      <c r="F46" s="81"/>
      <c r="G46" s="81">
        <v>52584.59</v>
      </c>
      <c r="H46" s="81">
        <f t="shared" si="1"/>
        <v>63101.507999999994</v>
      </c>
      <c r="I46" s="82">
        <f t="shared" si="2"/>
        <v>715186.3692999999</v>
      </c>
      <c r="J46" s="83">
        <f t="shared" si="3"/>
        <v>858223.64315999986</v>
      </c>
      <c r="K46" s="78">
        <v>19.489999999999998</v>
      </c>
      <c r="L46" s="82">
        <f t="shared" si="4"/>
        <v>501481.79289999983</v>
      </c>
      <c r="M46" s="78">
        <v>10.17</v>
      </c>
      <c r="N46" s="82">
        <f t="shared" si="5"/>
        <v>11575.0872</v>
      </c>
      <c r="O46" s="78">
        <v>7.86</v>
      </c>
      <c r="P46" s="82">
        <f t="shared" si="6"/>
        <v>202129.48920000001</v>
      </c>
      <c r="Q46" s="79">
        <v>6.33</v>
      </c>
      <c r="R46" s="82">
        <f t="shared" si="7"/>
        <v>0</v>
      </c>
      <c r="S46" s="42">
        <f t="shared" si="8"/>
        <v>715186.3692999999</v>
      </c>
    </row>
    <row r="47" spans="1:19" x14ac:dyDescent="0.25">
      <c r="A47" s="80">
        <v>44</v>
      </c>
      <c r="B47" s="80" t="s">
        <v>132</v>
      </c>
      <c r="C47" s="81">
        <f t="shared" si="0"/>
        <v>7426.1900000000023</v>
      </c>
      <c r="D47" s="81">
        <v>171.85</v>
      </c>
      <c r="E47" s="81">
        <v>1470.07</v>
      </c>
      <c r="F47" s="81">
        <v>31693.25</v>
      </c>
      <c r="G47" s="81">
        <v>40761.360000000001</v>
      </c>
      <c r="H47" s="81">
        <f t="shared" si="1"/>
        <v>48913.631999999998</v>
      </c>
      <c r="I47" s="82">
        <f t="shared" si="2"/>
        <v>358657.18030000001</v>
      </c>
      <c r="J47" s="83">
        <f t="shared" si="3"/>
        <v>430388.61635999999</v>
      </c>
      <c r="K47" s="78">
        <v>19.489999999999998</v>
      </c>
      <c r="L47" s="82">
        <f t="shared" si="4"/>
        <v>144736.44310000003</v>
      </c>
      <c r="M47" s="78">
        <v>10.17</v>
      </c>
      <c r="N47" s="82">
        <f t="shared" si="5"/>
        <v>1747.7145</v>
      </c>
      <c r="O47" s="78">
        <v>7.86</v>
      </c>
      <c r="P47" s="82">
        <f t="shared" si="6"/>
        <v>11554.7502</v>
      </c>
      <c r="Q47" s="79">
        <v>6.33</v>
      </c>
      <c r="R47" s="82">
        <f t="shared" si="7"/>
        <v>200618.27249999999</v>
      </c>
      <c r="S47" s="42">
        <f t="shared" si="8"/>
        <v>158038.90780000002</v>
      </c>
    </row>
    <row r="48" spans="1:19" x14ac:dyDescent="0.25">
      <c r="A48" s="80">
        <v>45</v>
      </c>
      <c r="B48" s="80" t="s">
        <v>133</v>
      </c>
      <c r="C48" s="81">
        <f t="shared" si="0"/>
        <v>8519.07</v>
      </c>
      <c r="D48" s="81">
        <v>171.85</v>
      </c>
      <c r="E48" s="81">
        <v>1470.07</v>
      </c>
      <c r="F48" s="81">
        <v>40822.19</v>
      </c>
      <c r="G48" s="81">
        <v>50983.18</v>
      </c>
      <c r="H48" s="81">
        <f t="shared" si="1"/>
        <v>61179.815999999999</v>
      </c>
      <c r="I48" s="82">
        <f t="shared" si="2"/>
        <v>437743.6017</v>
      </c>
      <c r="J48" s="83">
        <f t="shared" si="3"/>
        <v>525292.32204</v>
      </c>
      <c r="K48" s="78">
        <v>19.489999999999998</v>
      </c>
      <c r="L48" s="82">
        <f t="shared" si="4"/>
        <v>166036.67429999998</v>
      </c>
      <c r="M48" s="78">
        <v>10.17</v>
      </c>
      <c r="N48" s="82">
        <f t="shared" si="5"/>
        <v>1747.7145</v>
      </c>
      <c r="O48" s="78">
        <v>7.86</v>
      </c>
      <c r="P48" s="82">
        <f t="shared" si="6"/>
        <v>11554.7502</v>
      </c>
      <c r="Q48" s="79">
        <v>6.33</v>
      </c>
      <c r="R48" s="82">
        <f t="shared" si="7"/>
        <v>258404.4627</v>
      </c>
      <c r="S48" s="42">
        <f t="shared" si="8"/>
        <v>179339.139</v>
      </c>
    </row>
    <row r="49" spans="1:19" x14ac:dyDescent="0.25">
      <c r="A49" s="80">
        <v>46</v>
      </c>
      <c r="B49" s="80" t="s">
        <v>134</v>
      </c>
      <c r="C49" s="81">
        <f t="shared" si="0"/>
        <v>9944.2199999999939</v>
      </c>
      <c r="D49" s="81">
        <v>173.55</v>
      </c>
      <c r="E49" s="81">
        <v>1609.02</v>
      </c>
      <c r="F49" s="81">
        <v>46977.91</v>
      </c>
      <c r="G49" s="81">
        <v>58704.7</v>
      </c>
      <c r="H49" s="81">
        <f t="shared" si="1"/>
        <v>70445.64</v>
      </c>
      <c r="I49" s="82">
        <f t="shared" si="2"/>
        <v>505594.91879999987</v>
      </c>
      <c r="J49" s="83">
        <f t="shared" si="3"/>
        <v>606713.90255999984</v>
      </c>
      <c r="K49" s="78">
        <v>19.489999999999998</v>
      </c>
      <c r="L49" s="82">
        <f t="shared" si="4"/>
        <v>193812.84779999987</v>
      </c>
      <c r="M49" s="78">
        <v>10.17</v>
      </c>
      <c r="N49" s="82">
        <f t="shared" si="5"/>
        <v>1765.0035</v>
      </c>
      <c r="O49" s="78">
        <v>7.86</v>
      </c>
      <c r="P49" s="82">
        <f t="shared" si="6"/>
        <v>12646.897200000001</v>
      </c>
      <c r="Q49" s="79">
        <v>6.33</v>
      </c>
      <c r="R49" s="82">
        <f t="shared" si="7"/>
        <v>297370.1703</v>
      </c>
      <c r="S49" s="42">
        <f t="shared" si="8"/>
        <v>208224.74849999987</v>
      </c>
    </row>
    <row r="50" spans="1:19" x14ac:dyDescent="0.25">
      <c r="A50" s="80">
        <v>47</v>
      </c>
      <c r="B50" s="80" t="s">
        <v>135</v>
      </c>
      <c r="C50" s="81">
        <f t="shared" si="0"/>
        <v>42057.22000000003</v>
      </c>
      <c r="D50" s="81">
        <v>4928.8</v>
      </c>
      <c r="E50" s="81">
        <v>3196</v>
      </c>
      <c r="F50" s="81">
        <v>302156.88</v>
      </c>
      <c r="G50" s="81">
        <v>352338.9</v>
      </c>
      <c r="H50" s="81">
        <f t="shared" si="1"/>
        <v>422806.68</v>
      </c>
      <c r="I50" s="82">
        <f t="shared" si="2"/>
        <v>2807594.7242000005</v>
      </c>
      <c r="J50" s="83">
        <f t="shared" si="3"/>
        <v>3369113.6690400005</v>
      </c>
      <c r="K50" s="78">
        <v>19.489999999999998</v>
      </c>
      <c r="L50" s="82">
        <f t="shared" si="4"/>
        <v>819695.21780000057</v>
      </c>
      <c r="M50" s="78">
        <v>10.17</v>
      </c>
      <c r="N50" s="82">
        <f t="shared" si="5"/>
        <v>50125.896000000001</v>
      </c>
      <c r="O50" s="78">
        <v>7.86</v>
      </c>
      <c r="P50" s="82">
        <f t="shared" si="6"/>
        <v>25120.560000000001</v>
      </c>
      <c r="Q50" s="79">
        <v>6.33</v>
      </c>
      <c r="R50" s="82">
        <f t="shared" si="7"/>
        <v>1912653.0504000001</v>
      </c>
      <c r="S50" s="42">
        <f t="shared" si="8"/>
        <v>894941.67380000046</v>
      </c>
    </row>
    <row r="51" spans="1:19" x14ac:dyDescent="0.25">
      <c r="A51" s="80">
        <v>48</v>
      </c>
      <c r="B51" s="80" t="s">
        <v>136</v>
      </c>
      <c r="C51" s="81">
        <f t="shared" si="0"/>
        <v>32571.280000000028</v>
      </c>
      <c r="D51" s="81">
        <v>4680.34</v>
      </c>
      <c r="E51" s="81">
        <v>2439.1</v>
      </c>
      <c r="F51" s="81">
        <v>226257.74</v>
      </c>
      <c r="G51" s="81">
        <v>265948.46000000002</v>
      </c>
      <c r="H51" s="81">
        <f t="shared" si="1"/>
        <v>319138.152</v>
      </c>
      <c r="I51" s="82">
        <f t="shared" si="2"/>
        <v>2133796.1252000001</v>
      </c>
      <c r="J51" s="83">
        <f t="shared" si="3"/>
        <v>2560555.3502400001</v>
      </c>
      <c r="K51" s="78">
        <v>19.489999999999998</v>
      </c>
      <c r="L51" s="82">
        <f t="shared" si="4"/>
        <v>634814.24720000045</v>
      </c>
      <c r="M51" s="78">
        <v>10.17</v>
      </c>
      <c r="N51" s="82">
        <f t="shared" si="5"/>
        <v>47599.057800000002</v>
      </c>
      <c r="O51" s="78">
        <v>7.86</v>
      </c>
      <c r="P51" s="82">
        <f t="shared" si="6"/>
        <v>19171.326000000001</v>
      </c>
      <c r="Q51" s="79">
        <v>6.33</v>
      </c>
      <c r="R51" s="82">
        <f t="shared" si="7"/>
        <v>1432211.4941999998</v>
      </c>
      <c r="S51" s="42">
        <f t="shared" si="8"/>
        <v>701584.63100000028</v>
      </c>
    </row>
    <row r="52" spans="1:19" x14ac:dyDescent="0.25">
      <c r="A52" s="80">
        <v>49</v>
      </c>
      <c r="B52" s="80" t="s">
        <v>137</v>
      </c>
      <c r="C52" s="81">
        <f>G52-D52-E52-F52</f>
        <v>27279.350000000006</v>
      </c>
      <c r="D52" s="81">
        <v>4680.34</v>
      </c>
      <c r="E52" s="81">
        <v>1556.84</v>
      </c>
      <c r="F52" s="81">
        <v>147021.03</v>
      </c>
      <c r="G52" s="81">
        <v>180537.56</v>
      </c>
      <c r="H52" s="81">
        <f t="shared" si="1"/>
        <v>216645.07199999999</v>
      </c>
      <c r="I52" s="82">
        <f t="shared" si="2"/>
        <v>1522153.4716</v>
      </c>
      <c r="J52" s="83">
        <f t="shared" si="3"/>
        <v>1826584.1659200001</v>
      </c>
      <c r="K52" s="78">
        <v>19.489999999999998</v>
      </c>
      <c r="L52" s="82">
        <f t="shared" si="4"/>
        <v>531674.53150000004</v>
      </c>
      <c r="M52" s="78">
        <v>10.17</v>
      </c>
      <c r="N52" s="82">
        <f t="shared" si="5"/>
        <v>47599.057800000002</v>
      </c>
      <c r="O52" s="78">
        <v>7.86</v>
      </c>
      <c r="P52" s="82">
        <f t="shared" si="6"/>
        <v>12236.7624</v>
      </c>
      <c r="Q52" s="79">
        <v>6.33</v>
      </c>
      <c r="R52" s="82">
        <f t="shared" si="7"/>
        <v>930643.11990000005</v>
      </c>
      <c r="S52" s="42">
        <f t="shared" si="8"/>
        <v>591510.3517</v>
      </c>
    </row>
    <row r="53" spans="1:19" x14ac:dyDescent="0.25">
      <c r="A53" s="80">
        <v>50</v>
      </c>
      <c r="B53" s="80" t="s">
        <v>138</v>
      </c>
      <c r="C53" s="81">
        <f>G53-D53-E53-F53</f>
        <v>26735.300000000017</v>
      </c>
      <c r="D53" s="81">
        <v>4680.34</v>
      </c>
      <c r="E53" s="81">
        <v>984.75</v>
      </c>
      <c r="F53" s="81">
        <v>122595.37</v>
      </c>
      <c r="G53" s="81">
        <v>154995.76</v>
      </c>
      <c r="H53" s="81">
        <f t="shared" si="1"/>
        <v>185994.91200000001</v>
      </c>
      <c r="I53" s="82">
        <f t="shared" si="2"/>
        <v>1352438.8819000004</v>
      </c>
      <c r="J53" s="83">
        <f t="shared" si="3"/>
        <v>1622926.6582800003</v>
      </c>
      <c r="K53" s="78">
        <v>19.489999999999998</v>
      </c>
      <c r="L53" s="82">
        <f t="shared" si="4"/>
        <v>521070.99700000032</v>
      </c>
      <c r="M53" s="78">
        <v>10.17</v>
      </c>
      <c r="N53" s="82">
        <f t="shared" si="5"/>
        <v>47599.057800000002</v>
      </c>
      <c r="O53" s="78">
        <v>7.86</v>
      </c>
      <c r="P53" s="82">
        <f t="shared" si="6"/>
        <v>7740.1350000000002</v>
      </c>
      <c r="Q53" s="79">
        <v>6.33</v>
      </c>
      <c r="R53" s="82">
        <f t="shared" si="7"/>
        <v>776028.69209999999</v>
      </c>
      <c r="S53" s="42">
        <f t="shared" si="8"/>
        <v>576410.1898000004</v>
      </c>
    </row>
    <row r="54" spans="1:19" x14ac:dyDescent="0.25">
      <c r="A54" s="80">
        <v>51</v>
      </c>
      <c r="B54" s="80" t="s">
        <v>139</v>
      </c>
      <c r="C54" s="81">
        <f t="shared" si="0"/>
        <v>18930.160000000003</v>
      </c>
      <c r="D54" s="81">
        <v>2372.21</v>
      </c>
      <c r="E54" s="81">
        <v>854.65</v>
      </c>
      <c r="F54" s="81">
        <v>89132.45</v>
      </c>
      <c r="G54" s="81">
        <v>111289.47</v>
      </c>
      <c r="H54" s="81">
        <f t="shared" si="1"/>
        <v>133547.364</v>
      </c>
      <c r="I54" s="82">
        <f t="shared" si="2"/>
        <v>964000.15159999998</v>
      </c>
      <c r="J54" s="83">
        <f t="shared" si="3"/>
        <v>1156800.1819199999</v>
      </c>
      <c r="K54" s="78">
        <v>19.489999999999998</v>
      </c>
      <c r="L54" s="82">
        <f t="shared" si="4"/>
        <v>368948.81840000005</v>
      </c>
      <c r="M54" s="78">
        <v>10.17</v>
      </c>
      <c r="N54" s="82">
        <f t="shared" si="5"/>
        <v>24125.375700000001</v>
      </c>
      <c r="O54" s="78">
        <v>7.86</v>
      </c>
      <c r="P54" s="82">
        <f t="shared" si="6"/>
        <v>6717.549</v>
      </c>
      <c r="Q54" s="79">
        <v>6.33</v>
      </c>
      <c r="R54" s="82">
        <f t="shared" si="7"/>
        <v>564208.40850000002</v>
      </c>
      <c r="S54" s="42">
        <f t="shared" si="8"/>
        <v>399791.74309999996</v>
      </c>
    </row>
    <row r="55" spans="1:19" x14ac:dyDescent="0.25">
      <c r="A55" s="80">
        <v>52</v>
      </c>
      <c r="B55" s="80" t="s">
        <v>140</v>
      </c>
      <c r="C55" s="81">
        <f t="shared" si="0"/>
        <v>17448.12999999999</v>
      </c>
      <c r="D55" s="81">
        <v>2372.21</v>
      </c>
      <c r="E55" s="81">
        <v>864.25</v>
      </c>
      <c r="F55" s="81">
        <v>70235.95</v>
      </c>
      <c r="G55" s="81">
        <v>90920.54</v>
      </c>
      <c r="H55" s="81">
        <f t="shared" si="1"/>
        <v>109104.64799999999</v>
      </c>
      <c r="I55" s="82">
        <f t="shared" si="2"/>
        <v>815575.99789999973</v>
      </c>
      <c r="J55" s="83">
        <f t="shared" si="3"/>
        <v>978691.19747999962</v>
      </c>
      <c r="K55" s="78">
        <v>19.489999999999998</v>
      </c>
      <c r="L55" s="82">
        <f t="shared" si="4"/>
        <v>340064.05369999976</v>
      </c>
      <c r="M55" s="78">
        <v>10.17</v>
      </c>
      <c r="N55" s="82">
        <f t="shared" si="5"/>
        <v>24125.375700000001</v>
      </c>
      <c r="O55" s="78">
        <v>7.86</v>
      </c>
      <c r="P55" s="82">
        <f t="shared" si="6"/>
        <v>6793.0050000000001</v>
      </c>
      <c r="Q55" s="79">
        <v>6.33</v>
      </c>
      <c r="R55" s="82">
        <f t="shared" si="7"/>
        <v>444593.56349999999</v>
      </c>
      <c r="S55" s="42">
        <f t="shared" si="8"/>
        <v>370982.43439999974</v>
      </c>
    </row>
    <row r="56" spans="1:19" x14ac:dyDescent="0.25">
      <c r="A56" s="80">
        <v>53</v>
      </c>
      <c r="B56" s="80" t="s">
        <v>141</v>
      </c>
      <c r="C56" s="81">
        <f t="shared" si="0"/>
        <v>16256.700000000004</v>
      </c>
      <c r="D56" s="81">
        <v>2372.21</v>
      </c>
      <c r="E56" s="81">
        <v>860.17</v>
      </c>
      <c r="F56" s="81">
        <v>54893.24</v>
      </c>
      <c r="G56" s="81">
        <v>74382.320000000007</v>
      </c>
      <c r="H56" s="81">
        <f t="shared" si="1"/>
        <v>89258.784</v>
      </c>
      <c r="I56" s="82">
        <f t="shared" si="2"/>
        <v>695203.6041</v>
      </c>
      <c r="J56" s="83">
        <f t="shared" si="3"/>
        <v>834244.32491999993</v>
      </c>
      <c r="K56" s="78">
        <v>19.489999999999998</v>
      </c>
      <c r="L56" s="82">
        <f t="shared" si="4"/>
        <v>316843.08300000004</v>
      </c>
      <c r="M56" s="78">
        <v>10.17</v>
      </c>
      <c r="N56" s="82">
        <f t="shared" si="5"/>
        <v>24125.375700000001</v>
      </c>
      <c r="O56" s="78">
        <v>7.86</v>
      </c>
      <c r="P56" s="82">
        <f t="shared" si="6"/>
        <v>6760.9362000000001</v>
      </c>
      <c r="Q56" s="79">
        <v>6.33</v>
      </c>
      <c r="R56" s="82">
        <f t="shared" si="7"/>
        <v>347474.20919999998</v>
      </c>
      <c r="S56" s="42">
        <f t="shared" si="8"/>
        <v>347729.39490000001</v>
      </c>
    </row>
    <row r="57" spans="1:19" x14ac:dyDescent="0.25">
      <c r="A57" s="80">
        <v>54</v>
      </c>
      <c r="B57" s="80" t="s">
        <v>142</v>
      </c>
      <c r="C57" s="81">
        <f t="shared" si="0"/>
        <v>17371.280000000028</v>
      </c>
      <c r="D57" s="81">
        <v>2340.1799999999998</v>
      </c>
      <c r="E57" s="81">
        <v>124.56</v>
      </c>
      <c r="F57" s="81">
        <v>113115.68</v>
      </c>
      <c r="G57" s="81">
        <v>132951.70000000001</v>
      </c>
      <c r="H57" s="81">
        <f t="shared" si="1"/>
        <v>159542.04</v>
      </c>
      <c r="I57" s="82">
        <f t="shared" si="2"/>
        <v>1079367.1738000005</v>
      </c>
      <c r="J57" s="83">
        <f t="shared" si="3"/>
        <v>1295240.6085600005</v>
      </c>
      <c r="K57" s="78">
        <v>19.489999999999998</v>
      </c>
      <c r="L57" s="82">
        <f t="shared" si="4"/>
        <v>338566.24720000051</v>
      </c>
      <c r="M57" s="78">
        <v>10.17</v>
      </c>
      <c r="N57" s="82">
        <f t="shared" si="5"/>
        <v>23799.630599999997</v>
      </c>
      <c r="O57" s="78">
        <v>7.86</v>
      </c>
      <c r="P57" s="82">
        <f t="shared" si="6"/>
        <v>979.04160000000002</v>
      </c>
      <c r="Q57" s="79">
        <v>6.33</v>
      </c>
      <c r="R57" s="82">
        <f t="shared" si="7"/>
        <v>716022.25439999998</v>
      </c>
      <c r="S57" s="42">
        <f t="shared" si="8"/>
        <v>363344.91940000048</v>
      </c>
    </row>
    <row r="58" spans="1:19" x14ac:dyDescent="0.25">
      <c r="A58" s="80">
        <v>55</v>
      </c>
      <c r="B58" s="80" t="s">
        <v>143</v>
      </c>
      <c r="C58" s="81">
        <f t="shared" si="0"/>
        <v>14416.460000000006</v>
      </c>
      <c r="D58" s="81">
        <v>2340.1799999999998</v>
      </c>
      <c r="E58" s="81">
        <v>124.56</v>
      </c>
      <c r="F58" s="81">
        <v>73510.52</v>
      </c>
      <c r="G58" s="81">
        <v>90391.72</v>
      </c>
      <c r="H58" s="81">
        <f t="shared" si="1"/>
        <v>108470.064</v>
      </c>
      <c r="I58" s="82">
        <f t="shared" si="2"/>
        <v>771077.06920000014</v>
      </c>
      <c r="J58" s="83">
        <f t="shared" si="3"/>
        <v>925292.4830400002</v>
      </c>
      <c r="K58" s="78">
        <v>19.489999999999998</v>
      </c>
      <c r="L58" s="82">
        <f t="shared" si="4"/>
        <v>280976.80540000013</v>
      </c>
      <c r="M58" s="78">
        <v>10.17</v>
      </c>
      <c r="N58" s="82">
        <f t="shared" si="5"/>
        <v>23799.630599999997</v>
      </c>
      <c r="O58" s="78">
        <v>7.86</v>
      </c>
      <c r="P58" s="82">
        <f t="shared" si="6"/>
        <v>979.04160000000002</v>
      </c>
      <c r="Q58" s="79">
        <v>6.33</v>
      </c>
      <c r="R58" s="82">
        <f t="shared" si="7"/>
        <v>465321.59160000004</v>
      </c>
      <c r="S58" s="42">
        <f t="shared" si="8"/>
        <v>305755.4776000001</v>
      </c>
    </row>
    <row r="59" spans="1:19" x14ac:dyDescent="0.25">
      <c r="A59" s="80">
        <v>56</v>
      </c>
      <c r="B59" s="80" t="s">
        <v>144</v>
      </c>
      <c r="C59" s="81">
        <f t="shared" si="0"/>
        <v>13858.37000000001</v>
      </c>
      <c r="D59" s="81">
        <v>2340.1799999999998</v>
      </c>
      <c r="E59" s="81">
        <v>124.56</v>
      </c>
      <c r="F59" s="81">
        <v>61297.69</v>
      </c>
      <c r="G59" s="81">
        <v>77620.800000000003</v>
      </c>
      <c r="H59" s="81">
        <f t="shared" si="1"/>
        <v>93144.960000000006</v>
      </c>
      <c r="I59" s="82">
        <f t="shared" si="2"/>
        <v>682892.68120000022</v>
      </c>
      <c r="J59" s="83">
        <f t="shared" si="3"/>
        <v>819471.21744000027</v>
      </c>
      <c r="K59" s="78">
        <v>19.489999999999998</v>
      </c>
      <c r="L59" s="82">
        <f t="shared" si="4"/>
        <v>270099.63130000018</v>
      </c>
      <c r="M59" s="78">
        <v>10.17</v>
      </c>
      <c r="N59" s="82">
        <f t="shared" si="5"/>
        <v>23799.630599999997</v>
      </c>
      <c r="O59" s="78">
        <v>7.86</v>
      </c>
      <c r="P59" s="82">
        <f t="shared" si="6"/>
        <v>979.04160000000002</v>
      </c>
      <c r="Q59" s="79">
        <v>6.33</v>
      </c>
      <c r="R59" s="82">
        <f t="shared" si="7"/>
        <v>388014.37770000001</v>
      </c>
      <c r="S59" s="42">
        <f t="shared" si="8"/>
        <v>294878.30350000021</v>
      </c>
    </row>
    <row r="60" spans="1:19" x14ac:dyDescent="0.25">
      <c r="A60" s="80">
        <v>57</v>
      </c>
      <c r="B60" s="80" t="s">
        <v>145</v>
      </c>
      <c r="C60" s="81">
        <f t="shared" si="0"/>
        <v>10076.449999999997</v>
      </c>
      <c r="D60" s="81">
        <v>1186.1199999999999</v>
      </c>
      <c r="E60" s="81">
        <v>112.47</v>
      </c>
      <c r="F60" s="81">
        <v>46794.54</v>
      </c>
      <c r="G60" s="81">
        <v>58169.58</v>
      </c>
      <c r="H60" s="81">
        <f t="shared" si="1"/>
        <v>69803.495999999999</v>
      </c>
      <c r="I60" s="82">
        <f t="shared" si="2"/>
        <v>505546.30329999991</v>
      </c>
      <c r="J60" s="83">
        <f t="shared" si="3"/>
        <v>606655.56395999982</v>
      </c>
      <c r="K60" s="78">
        <v>19.489999999999998</v>
      </c>
      <c r="L60" s="82">
        <f t="shared" si="4"/>
        <v>196390.01049999992</v>
      </c>
      <c r="M60" s="78">
        <v>10.17</v>
      </c>
      <c r="N60" s="82">
        <f t="shared" si="5"/>
        <v>12062.840399999999</v>
      </c>
      <c r="O60" s="78">
        <v>7.86</v>
      </c>
      <c r="P60" s="82">
        <f t="shared" si="6"/>
        <v>884.01420000000007</v>
      </c>
      <c r="Q60" s="79">
        <v>6.33</v>
      </c>
      <c r="R60" s="82">
        <f t="shared" si="7"/>
        <v>296209.43820000003</v>
      </c>
      <c r="S60" s="42">
        <f t="shared" si="8"/>
        <v>209336.86509999988</v>
      </c>
    </row>
    <row r="61" spans="1:19" s="14" customFormat="1" x14ac:dyDescent="0.25">
      <c r="A61" s="80">
        <v>58</v>
      </c>
      <c r="B61" s="80" t="s">
        <v>146</v>
      </c>
      <c r="C61" s="81">
        <f t="shared" si="0"/>
        <v>9166.6099999999933</v>
      </c>
      <c r="D61" s="81">
        <v>1186.1199999999999</v>
      </c>
      <c r="E61" s="81">
        <v>112.47</v>
      </c>
      <c r="F61" s="81">
        <v>35117.980000000003</v>
      </c>
      <c r="G61" s="81">
        <v>45583.18</v>
      </c>
      <c r="H61" s="81">
        <f t="shared" si="1"/>
        <v>54699.815999999999</v>
      </c>
      <c r="I61" s="82">
        <f t="shared" si="2"/>
        <v>413900.89689999982</v>
      </c>
      <c r="J61" s="83">
        <f t="shared" si="3"/>
        <v>496681.07627999975</v>
      </c>
      <c r="K61" s="78">
        <v>19.489999999999998</v>
      </c>
      <c r="L61" s="82">
        <f t="shared" si="4"/>
        <v>178657.22889999984</v>
      </c>
      <c r="M61" s="78">
        <v>10.17</v>
      </c>
      <c r="N61" s="82">
        <f t="shared" si="5"/>
        <v>12062.840399999999</v>
      </c>
      <c r="O61" s="78">
        <v>7.86</v>
      </c>
      <c r="P61" s="82">
        <f t="shared" si="6"/>
        <v>884.01420000000007</v>
      </c>
      <c r="Q61" s="79">
        <v>6.33</v>
      </c>
      <c r="R61" s="82">
        <f t="shared" si="7"/>
        <v>222296.81340000001</v>
      </c>
      <c r="S61" s="42">
        <f t="shared" si="8"/>
        <v>191604.0834999998</v>
      </c>
    </row>
    <row r="62" spans="1:19" s="14" customFormat="1" x14ac:dyDescent="0.25">
      <c r="A62" s="80">
        <v>59</v>
      </c>
      <c r="B62" s="80" t="s">
        <v>147</v>
      </c>
      <c r="C62" s="81">
        <f t="shared" si="0"/>
        <v>8923.8699999999953</v>
      </c>
      <c r="D62" s="81">
        <v>1186.1199999999999</v>
      </c>
      <c r="E62" s="81">
        <v>99.57</v>
      </c>
      <c r="F62" s="81">
        <v>27446.61</v>
      </c>
      <c r="G62" s="81">
        <v>37656.17</v>
      </c>
      <c r="H62" s="81">
        <f t="shared" si="1"/>
        <v>45187.403999999995</v>
      </c>
      <c r="I62" s="82">
        <f t="shared" si="2"/>
        <v>360508.7281999999</v>
      </c>
      <c r="J62" s="83">
        <f t="shared" si="3"/>
        <v>432610.47383999988</v>
      </c>
      <c r="K62" s="78">
        <v>19.489999999999998</v>
      </c>
      <c r="L62" s="82">
        <f t="shared" si="4"/>
        <v>173926.22629999989</v>
      </c>
      <c r="M62" s="78">
        <v>10.17</v>
      </c>
      <c r="N62" s="82">
        <f t="shared" si="5"/>
        <v>12062.840399999999</v>
      </c>
      <c r="O62" s="78">
        <v>7.86</v>
      </c>
      <c r="P62" s="82">
        <f t="shared" si="6"/>
        <v>782.62019999999995</v>
      </c>
      <c r="Q62" s="79">
        <v>6.33</v>
      </c>
      <c r="R62" s="82">
        <f t="shared" si="7"/>
        <v>173737.04130000001</v>
      </c>
      <c r="S62" s="42">
        <f t="shared" si="8"/>
        <v>186771.68689999988</v>
      </c>
    </row>
    <row r="63" spans="1:19" s="14" customFormat="1" x14ac:dyDescent="0.25">
      <c r="A63" s="80">
        <v>60</v>
      </c>
      <c r="B63" s="80" t="s">
        <v>148</v>
      </c>
      <c r="C63" s="81">
        <f t="shared" si="0"/>
        <v>7046.2599999999948</v>
      </c>
      <c r="D63" s="81">
        <v>327.41000000000003</v>
      </c>
      <c r="E63" s="81">
        <v>680.9</v>
      </c>
      <c r="F63" s="81">
        <v>34289.230000000003</v>
      </c>
      <c r="G63" s="81">
        <v>42343.8</v>
      </c>
      <c r="H63" s="81">
        <f t="shared" si="1"/>
        <v>50812.560000000005</v>
      </c>
      <c r="I63" s="82">
        <f t="shared" si="2"/>
        <v>363064.06699999992</v>
      </c>
      <c r="J63" s="83">
        <f t="shared" si="3"/>
        <v>435676.88039999991</v>
      </c>
      <c r="K63" s="78">
        <v>19.489999999999998</v>
      </c>
      <c r="L63" s="82">
        <f t="shared" si="4"/>
        <v>137331.60739999989</v>
      </c>
      <c r="M63" s="78">
        <v>10.17</v>
      </c>
      <c r="N63" s="82">
        <f t="shared" si="5"/>
        <v>3329.7597000000001</v>
      </c>
      <c r="O63" s="78">
        <v>7.86</v>
      </c>
      <c r="P63" s="82">
        <f t="shared" si="6"/>
        <v>5351.8739999999998</v>
      </c>
      <c r="Q63" s="79">
        <v>6.33</v>
      </c>
      <c r="R63" s="82">
        <f t="shared" si="7"/>
        <v>217050.82590000003</v>
      </c>
      <c r="S63" s="42">
        <f t="shared" si="8"/>
        <v>146013.2410999999</v>
      </c>
    </row>
    <row r="64" spans="1:19" s="14" customFormat="1" x14ac:dyDescent="0.25">
      <c r="A64" s="80">
        <v>61</v>
      </c>
      <c r="B64" s="80" t="s">
        <v>149</v>
      </c>
      <c r="C64" s="81">
        <f t="shared" si="0"/>
        <v>5361.0199999999968</v>
      </c>
      <c r="D64" s="81">
        <v>208.13</v>
      </c>
      <c r="E64" s="81">
        <v>693.79</v>
      </c>
      <c r="F64" s="81">
        <v>34289.230000000003</v>
      </c>
      <c r="G64" s="81">
        <v>40552.17</v>
      </c>
      <c r="H64" s="81">
        <f t="shared" si="1"/>
        <v>48662.603999999999</v>
      </c>
      <c r="I64" s="82">
        <f t="shared" si="2"/>
        <v>329106.97719999996</v>
      </c>
      <c r="J64" s="83">
        <f t="shared" si="3"/>
        <v>394928.37263999996</v>
      </c>
      <c r="K64" s="78">
        <v>19.489999999999998</v>
      </c>
      <c r="L64" s="82">
        <f t="shared" si="4"/>
        <v>104486.27979999993</v>
      </c>
      <c r="M64" s="78">
        <v>10.17</v>
      </c>
      <c r="N64" s="82">
        <f t="shared" si="5"/>
        <v>2116.6821</v>
      </c>
      <c r="O64" s="78">
        <v>7.86</v>
      </c>
      <c r="P64" s="82">
        <f t="shared" si="6"/>
        <v>5453.1894000000002</v>
      </c>
      <c r="Q64" s="79">
        <v>6.33</v>
      </c>
      <c r="R64" s="82">
        <f t="shared" si="7"/>
        <v>217050.82590000003</v>
      </c>
      <c r="S64" s="42">
        <f t="shared" si="8"/>
        <v>112056.15129999994</v>
      </c>
    </row>
    <row r="65" spans="1:19" s="14" customFormat="1" ht="22.5" x14ac:dyDescent="0.25">
      <c r="A65" s="80">
        <v>62</v>
      </c>
      <c r="B65" s="80" t="s">
        <v>150</v>
      </c>
      <c r="C65" s="81">
        <f t="shared" si="0"/>
        <v>8242.4599999999991</v>
      </c>
      <c r="D65" s="81">
        <v>281.60000000000002</v>
      </c>
      <c r="E65" s="81">
        <v>639.08000000000004</v>
      </c>
      <c r="F65" s="81">
        <v>45322.95</v>
      </c>
      <c r="G65" s="81">
        <v>54486.09</v>
      </c>
      <c r="H65" s="81">
        <f t="shared" si="1"/>
        <v>65383.30799999999</v>
      </c>
      <c r="I65" s="82">
        <f t="shared" si="2"/>
        <v>455426.85970000003</v>
      </c>
      <c r="J65" s="83">
        <f t="shared" si="3"/>
        <v>546512.23164000001</v>
      </c>
      <c r="K65" s="78">
        <v>19.489999999999998</v>
      </c>
      <c r="L65" s="82">
        <f t="shared" si="4"/>
        <v>160645.54539999997</v>
      </c>
      <c r="M65" s="78">
        <v>10.17</v>
      </c>
      <c r="N65" s="82">
        <f t="shared" si="5"/>
        <v>2863.8720000000003</v>
      </c>
      <c r="O65" s="78">
        <v>7.86</v>
      </c>
      <c r="P65" s="82">
        <f t="shared" si="6"/>
        <v>5023.1688000000004</v>
      </c>
      <c r="Q65" s="79">
        <v>6.33</v>
      </c>
      <c r="R65" s="82">
        <f t="shared" si="7"/>
        <v>286894.27350000001</v>
      </c>
      <c r="S65" s="42">
        <f t="shared" si="8"/>
        <v>168532.58620000002</v>
      </c>
    </row>
    <row r="66" spans="1:19" ht="22.5" x14ac:dyDescent="0.25">
      <c r="A66" s="80">
        <v>63</v>
      </c>
      <c r="B66" s="80" t="s">
        <v>151</v>
      </c>
      <c r="C66" s="81">
        <f t="shared" si="0"/>
        <v>10473.980000000003</v>
      </c>
      <c r="D66" s="81">
        <v>420.61</v>
      </c>
      <c r="E66" s="81">
        <v>639.08000000000004</v>
      </c>
      <c r="F66" s="81">
        <v>45322.95</v>
      </c>
      <c r="G66" s="81">
        <v>56856.62</v>
      </c>
      <c r="H66" s="81">
        <f t="shared" si="1"/>
        <v>68227.944000000003</v>
      </c>
      <c r="I66" s="82">
        <f t="shared" si="2"/>
        <v>500332.91620000009</v>
      </c>
      <c r="J66" s="83">
        <f t="shared" si="3"/>
        <v>600399.49944000004</v>
      </c>
      <c r="K66" s="78">
        <v>19.489999999999998</v>
      </c>
      <c r="L66" s="82">
        <f t="shared" si="4"/>
        <v>204137.87020000003</v>
      </c>
      <c r="M66" s="78">
        <v>10.17</v>
      </c>
      <c r="N66" s="82">
        <f t="shared" si="5"/>
        <v>4277.6036999999997</v>
      </c>
      <c r="O66" s="78">
        <v>7.86</v>
      </c>
      <c r="P66" s="82">
        <f t="shared" si="6"/>
        <v>5023.1688000000004</v>
      </c>
      <c r="Q66" s="79">
        <v>6.33</v>
      </c>
      <c r="R66" s="82">
        <f t="shared" si="7"/>
        <v>286894.27350000001</v>
      </c>
      <c r="S66" s="42">
        <f t="shared" si="8"/>
        <v>213438.64270000008</v>
      </c>
    </row>
    <row r="67" spans="1:19" ht="22.5" x14ac:dyDescent="0.25">
      <c r="A67" s="80">
        <v>64</v>
      </c>
      <c r="B67" s="80" t="s">
        <v>152</v>
      </c>
      <c r="C67" s="81">
        <f t="shared" si="0"/>
        <v>21112.179999999993</v>
      </c>
      <c r="D67" s="81">
        <v>370.15</v>
      </c>
      <c r="E67" s="81">
        <v>640.72</v>
      </c>
      <c r="F67" s="81">
        <v>150350.26</v>
      </c>
      <c r="G67" s="81">
        <v>172473.31</v>
      </c>
      <c r="H67" s="81">
        <f t="shared" si="1"/>
        <v>206967.97199999998</v>
      </c>
      <c r="I67" s="82">
        <f t="shared" si="2"/>
        <v>1371994.0186999999</v>
      </c>
      <c r="J67" s="83">
        <f t="shared" si="3"/>
        <v>1646392.8224399998</v>
      </c>
      <c r="K67" s="78">
        <v>19.489999999999998</v>
      </c>
      <c r="L67" s="82">
        <f t="shared" si="4"/>
        <v>411476.38819999981</v>
      </c>
      <c r="M67" s="78">
        <v>10.17</v>
      </c>
      <c r="N67" s="82">
        <f t="shared" si="5"/>
        <v>3764.4254999999998</v>
      </c>
      <c r="O67" s="78">
        <v>7.86</v>
      </c>
      <c r="P67" s="82">
        <f t="shared" si="6"/>
        <v>5036.0592000000006</v>
      </c>
      <c r="Q67" s="79">
        <v>6.33</v>
      </c>
      <c r="R67" s="82">
        <f t="shared" si="7"/>
        <v>951717.14580000006</v>
      </c>
      <c r="S67" s="42">
        <f t="shared" si="8"/>
        <v>420276.87289999984</v>
      </c>
    </row>
    <row r="68" spans="1:19" ht="22.5" x14ac:dyDescent="0.25">
      <c r="A68" s="80">
        <v>65</v>
      </c>
      <c r="B68" s="80" t="s">
        <v>153</v>
      </c>
      <c r="C68" s="81">
        <f t="shared" ref="C68:C73" si="10">G68-D68-E68-F68</f>
        <v>23483.25999999998</v>
      </c>
      <c r="D68" s="81">
        <v>631.25</v>
      </c>
      <c r="E68" s="81">
        <v>640.72</v>
      </c>
      <c r="F68" s="81">
        <v>150350.26</v>
      </c>
      <c r="G68" s="81">
        <v>175105.49</v>
      </c>
      <c r="H68" s="81">
        <f t="shared" si="1"/>
        <v>210126.58799999999</v>
      </c>
      <c r="I68" s="82">
        <f t="shared" si="2"/>
        <v>1420861.7548999996</v>
      </c>
      <c r="J68" s="83">
        <f t="shared" si="3"/>
        <v>1705034.1058799995</v>
      </c>
      <c r="K68" s="78">
        <v>19.489999999999998</v>
      </c>
      <c r="L68" s="82">
        <f t="shared" si="4"/>
        <v>457688.73739999958</v>
      </c>
      <c r="M68" s="78">
        <v>10.17</v>
      </c>
      <c r="N68" s="82">
        <f t="shared" si="5"/>
        <v>6419.8125</v>
      </c>
      <c r="O68" s="78">
        <v>7.86</v>
      </c>
      <c r="P68" s="82">
        <f t="shared" si="6"/>
        <v>5036.0592000000006</v>
      </c>
      <c r="Q68" s="79">
        <v>6.33</v>
      </c>
      <c r="R68" s="82">
        <f t="shared" si="7"/>
        <v>951717.14580000006</v>
      </c>
      <c r="S68" s="42">
        <f t="shared" ref="S68:S131" si="11">I68-R68</f>
        <v>469144.60909999954</v>
      </c>
    </row>
    <row r="69" spans="1:19" x14ac:dyDescent="0.25">
      <c r="A69" s="80">
        <v>66</v>
      </c>
      <c r="B69" s="80" t="s">
        <v>154</v>
      </c>
      <c r="C69" s="81">
        <f t="shared" si="10"/>
        <v>5591.0800000000008</v>
      </c>
      <c r="D69" s="81">
        <v>50.81</v>
      </c>
      <c r="E69" s="81">
        <v>485.1</v>
      </c>
      <c r="F69" s="81">
        <v>3822.3</v>
      </c>
      <c r="G69" s="81">
        <v>9949.2900000000009</v>
      </c>
      <c r="H69" s="81">
        <f t="shared" ref="H69:H74" si="12">G69*1.2</f>
        <v>11939.148000000001</v>
      </c>
      <c r="I69" s="82">
        <f t="shared" si="2"/>
        <v>137494.93190000003</v>
      </c>
      <c r="J69" s="83">
        <f t="shared" si="3"/>
        <v>164993.91828000001</v>
      </c>
      <c r="K69" s="78">
        <v>19.489999999999998</v>
      </c>
      <c r="L69" s="82">
        <f t="shared" si="4"/>
        <v>108970.14920000001</v>
      </c>
      <c r="M69" s="78">
        <v>10.17</v>
      </c>
      <c r="N69" s="82">
        <f t="shared" si="5"/>
        <v>516.73770000000002</v>
      </c>
      <c r="O69" s="78">
        <v>7.86</v>
      </c>
      <c r="P69" s="82">
        <f t="shared" si="6"/>
        <v>3812.8860000000004</v>
      </c>
      <c r="Q69" s="79">
        <v>6.33</v>
      </c>
      <c r="R69" s="82">
        <f t="shared" si="7"/>
        <v>24195.159</v>
      </c>
      <c r="S69" s="42">
        <f t="shared" si="11"/>
        <v>113299.77290000003</v>
      </c>
    </row>
    <row r="70" spans="1:19" ht="33.75" x14ac:dyDescent="0.25">
      <c r="A70" s="80">
        <v>67</v>
      </c>
      <c r="B70" s="80" t="s">
        <v>155</v>
      </c>
      <c r="C70" s="81">
        <f t="shared" si="10"/>
        <v>64725.949999999953</v>
      </c>
      <c r="D70" s="81">
        <v>4440.3100000000004</v>
      </c>
      <c r="E70" s="81">
        <v>14756.53</v>
      </c>
      <c r="F70" s="81">
        <v>437972.13</v>
      </c>
      <c r="G70" s="81">
        <v>521894.92</v>
      </c>
      <c r="H70" s="81">
        <f t="shared" si="12"/>
        <v>626273.90399999998</v>
      </c>
      <c r="I70" s="82">
        <f t="shared" si="2"/>
        <v>4195016.6268999996</v>
      </c>
      <c r="J70" s="83">
        <f t="shared" si="3"/>
        <v>5034019.9522799989</v>
      </c>
      <c r="K70" s="78">
        <v>19.489999999999998</v>
      </c>
      <c r="L70" s="82">
        <f t="shared" si="4"/>
        <v>1261508.765499999</v>
      </c>
      <c r="M70" s="78">
        <v>10.17</v>
      </c>
      <c r="N70" s="82">
        <f t="shared" si="5"/>
        <v>45157.952700000002</v>
      </c>
      <c r="O70" s="78">
        <v>7.86</v>
      </c>
      <c r="P70" s="82">
        <f t="shared" si="6"/>
        <v>115986.32580000001</v>
      </c>
      <c r="Q70" s="79">
        <v>6.33</v>
      </c>
      <c r="R70" s="82">
        <f t="shared" si="7"/>
        <v>2772363.5829000003</v>
      </c>
      <c r="S70" s="42">
        <f t="shared" si="11"/>
        <v>1422653.0439999993</v>
      </c>
    </row>
    <row r="71" spans="1:19" ht="22.5" x14ac:dyDescent="0.25">
      <c r="A71" s="80">
        <v>68</v>
      </c>
      <c r="B71" s="80" t="s">
        <v>156</v>
      </c>
      <c r="C71" s="81">
        <f t="shared" si="10"/>
        <v>33022.399999999994</v>
      </c>
      <c r="D71" s="81">
        <v>3379.99</v>
      </c>
      <c r="E71" s="81">
        <v>1964.07</v>
      </c>
      <c r="F71" s="81">
        <v>167480.54</v>
      </c>
      <c r="G71" s="81">
        <v>205847</v>
      </c>
      <c r="H71" s="81">
        <f t="shared" si="12"/>
        <v>247016.4</v>
      </c>
      <c r="I71" s="82">
        <f t="shared" si="2"/>
        <v>1753570.4827000001</v>
      </c>
      <c r="J71" s="83">
        <f t="shared" si="3"/>
        <v>2104284.5792399999</v>
      </c>
      <c r="K71" s="78">
        <v>19.489999999999998</v>
      </c>
      <c r="L71" s="82">
        <f t="shared" si="4"/>
        <v>643606.57599999988</v>
      </c>
      <c r="M71" s="78">
        <v>10.17</v>
      </c>
      <c r="N71" s="82">
        <f t="shared" si="5"/>
        <v>34374.498299999999</v>
      </c>
      <c r="O71" s="78">
        <v>7.86</v>
      </c>
      <c r="P71" s="82">
        <f t="shared" si="6"/>
        <v>15437.590200000001</v>
      </c>
      <c r="Q71" s="79">
        <v>6.33</v>
      </c>
      <c r="R71" s="82">
        <f t="shared" si="7"/>
        <v>1060151.8182000001</v>
      </c>
      <c r="S71" s="42">
        <f t="shared" si="11"/>
        <v>693418.66449999996</v>
      </c>
    </row>
    <row r="72" spans="1:19" ht="22.5" x14ac:dyDescent="0.25">
      <c r="A72" s="80">
        <v>69</v>
      </c>
      <c r="B72" s="80" t="s">
        <v>157</v>
      </c>
      <c r="C72" s="81">
        <f t="shared" si="10"/>
        <v>38293.81</v>
      </c>
      <c r="D72" s="81">
        <v>5178.29</v>
      </c>
      <c r="E72" s="81">
        <v>8592.52</v>
      </c>
      <c r="F72" s="81">
        <v>150980.94</v>
      </c>
      <c r="G72" s="81">
        <v>203045.56</v>
      </c>
      <c r="H72" s="81">
        <f t="shared" si="12"/>
        <v>243654.67199999999</v>
      </c>
      <c r="I72" s="82">
        <f t="shared" si="2"/>
        <v>1822256.1235999998</v>
      </c>
      <c r="J72" s="83">
        <f t="shared" si="3"/>
        <v>2186707.3483199999</v>
      </c>
      <c r="K72" s="78">
        <v>19.489999999999998</v>
      </c>
      <c r="L72" s="82">
        <f t="shared" si="4"/>
        <v>746346.3568999999</v>
      </c>
      <c r="M72" s="78">
        <v>10.17</v>
      </c>
      <c r="N72" s="82">
        <f t="shared" si="5"/>
        <v>52663.209300000002</v>
      </c>
      <c r="O72" s="78">
        <v>7.86</v>
      </c>
      <c r="P72" s="82">
        <f t="shared" si="6"/>
        <v>67537.207200000004</v>
      </c>
      <c r="Q72" s="79">
        <v>6.33</v>
      </c>
      <c r="R72" s="82">
        <f>F72*Q72</f>
        <v>955709.35019999999</v>
      </c>
      <c r="S72" s="42">
        <f t="shared" si="11"/>
        <v>866546.77339999983</v>
      </c>
    </row>
    <row r="73" spans="1:19" ht="22.5" x14ac:dyDescent="0.25">
      <c r="A73" s="80">
        <v>70</v>
      </c>
      <c r="B73" s="80" t="s">
        <v>158</v>
      </c>
      <c r="C73" s="81">
        <f t="shared" si="10"/>
        <v>26529.249999999996</v>
      </c>
      <c r="D73" s="81">
        <v>5178.29</v>
      </c>
      <c r="E73" s="81">
        <v>8592.52</v>
      </c>
      <c r="F73" s="81"/>
      <c r="G73" s="81">
        <v>40300.06</v>
      </c>
      <c r="H73" s="81">
        <f t="shared" si="12"/>
        <v>48360.071999999993</v>
      </c>
      <c r="I73" s="82">
        <f t="shared" ref="I73" si="13">L73+N73+P73+R73</f>
        <v>637255.49899999984</v>
      </c>
      <c r="J73" s="83">
        <f t="shared" ref="J73" si="14">I73*1.2</f>
        <v>764706.5987999998</v>
      </c>
      <c r="K73" s="78">
        <v>19.489999999999998</v>
      </c>
      <c r="L73" s="82">
        <f t="shared" ref="L73" si="15">C73*K73</f>
        <v>517055.0824999999</v>
      </c>
      <c r="M73" s="78">
        <v>10.17</v>
      </c>
      <c r="N73" s="82">
        <f t="shared" ref="N73" si="16">D73*M73</f>
        <v>52663.209300000002</v>
      </c>
      <c r="O73" s="78">
        <v>7.86</v>
      </c>
      <c r="P73" s="82">
        <f t="shared" ref="P73" si="17">E73*O73</f>
        <v>67537.207200000004</v>
      </c>
      <c r="Q73" s="79">
        <v>6.33</v>
      </c>
      <c r="R73" s="82">
        <f t="shared" si="7"/>
        <v>0</v>
      </c>
      <c r="S73" s="42">
        <f t="shared" si="11"/>
        <v>637255.49899999984</v>
      </c>
    </row>
    <row r="74" spans="1:19" x14ac:dyDescent="0.25">
      <c r="A74" s="80">
        <v>71</v>
      </c>
      <c r="B74" s="90" t="s">
        <v>327</v>
      </c>
      <c r="C74" s="91"/>
      <c r="D74" s="91"/>
      <c r="E74" s="91"/>
      <c r="F74" s="91"/>
      <c r="G74" s="91">
        <v>0</v>
      </c>
      <c r="H74" s="91">
        <f t="shared" si="12"/>
        <v>0</v>
      </c>
      <c r="I74" s="92">
        <v>0</v>
      </c>
      <c r="J74" s="93"/>
      <c r="K74" s="94">
        <v>19.489999999999998</v>
      </c>
      <c r="L74" s="92"/>
      <c r="M74" s="95">
        <v>8.27</v>
      </c>
      <c r="N74" s="92"/>
      <c r="O74" s="95">
        <v>3.76</v>
      </c>
      <c r="P74" s="92"/>
      <c r="Q74" s="96"/>
      <c r="R74" s="92"/>
      <c r="S74" s="42">
        <f t="shared" si="11"/>
        <v>0</v>
      </c>
    </row>
    <row r="75" spans="1:19" x14ac:dyDescent="0.25">
      <c r="A75" s="97">
        <v>72</v>
      </c>
      <c r="B75" s="97" t="s">
        <v>159</v>
      </c>
      <c r="C75" s="98">
        <f t="shared" ref="C75:C82" si="18">G75-D75-E75</f>
        <v>78413.88</v>
      </c>
      <c r="D75" s="98">
        <v>23035.119999999999</v>
      </c>
      <c r="E75" s="98">
        <f>139358.7+10485+1579</f>
        <v>151422.70000000001</v>
      </c>
      <c r="F75" s="98"/>
      <c r="G75" s="98">
        <v>252871.7</v>
      </c>
      <c r="H75" s="98">
        <f>G75*1.2</f>
        <v>303446.03999999998</v>
      </c>
      <c r="I75" s="99">
        <f>L75+N75+P75</f>
        <v>2288136.3156000003</v>
      </c>
      <c r="J75" s="100">
        <f>I75*1.2</f>
        <v>2745763.5787200001</v>
      </c>
      <c r="K75" s="101">
        <v>19.489999999999998</v>
      </c>
      <c r="L75" s="102">
        <f>C75*K75</f>
        <v>1528286.5212000001</v>
      </c>
      <c r="M75" s="103">
        <v>8.27</v>
      </c>
      <c r="N75" s="102">
        <f>D75*M75</f>
        <v>190500.44239999997</v>
      </c>
      <c r="O75" s="103">
        <v>3.76</v>
      </c>
      <c r="P75" s="102">
        <f>E75*O75</f>
        <v>569349.35199999996</v>
      </c>
      <c r="Q75" s="104"/>
      <c r="R75" s="104"/>
      <c r="S75" s="42">
        <f t="shared" si="11"/>
        <v>2288136.3156000003</v>
      </c>
    </row>
    <row r="76" spans="1:19" ht="17.25" customHeight="1" x14ac:dyDescent="0.25">
      <c r="A76" s="97">
        <v>73</v>
      </c>
      <c r="B76" s="97" t="s">
        <v>160</v>
      </c>
      <c r="C76" s="98">
        <f t="shared" si="18"/>
        <v>87310.490000000049</v>
      </c>
      <c r="D76" s="98">
        <v>24306.74</v>
      </c>
      <c r="E76" s="98">
        <f>10485+230465.11+1579</f>
        <v>242529.11</v>
      </c>
      <c r="F76" s="98"/>
      <c r="G76" s="98">
        <v>354146.34</v>
      </c>
      <c r="H76" s="98">
        <v>424975.6</v>
      </c>
      <c r="I76" s="99">
        <f t="shared" ref="I76:I139" si="19">L76+N76+P76</f>
        <v>2814607.6435000007</v>
      </c>
      <c r="J76" s="100">
        <f t="shared" ref="J76:J139" si="20">I76*1.2</f>
        <v>3377529.1722000008</v>
      </c>
      <c r="K76" s="101">
        <v>19.489999999999998</v>
      </c>
      <c r="L76" s="102">
        <f t="shared" ref="L76:L139" si="21">C76*K76</f>
        <v>1701681.4501000007</v>
      </c>
      <c r="M76" s="103">
        <v>8.27</v>
      </c>
      <c r="N76" s="102">
        <f t="shared" ref="N76:N139" si="22">D76*M76</f>
        <v>201016.73980000001</v>
      </c>
      <c r="O76" s="103">
        <v>3.76</v>
      </c>
      <c r="P76" s="102">
        <f t="shared" ref="P76:P139" si="23">E76*O76</f>
        <v>911909.45359999989</v>
      </c>
      <c r="Q76" s="104"/>
      <c r="R76" s="104"/>
      <c r="S76" s="42">
        <f t="shared" si="11"/>
        <v>2814607.6435000007</v>
      </c>
    </row>
    <row r="77" spans="1:19" x14ac:dyDescent="0.25">
      <c r="A77" s="97">
        <v>74</v>
      </c>
      <c r="B77" s="97" t="s">
        <v>161</v>
      </c>
      <c r="C77" s="98">
        <f t="shared" si="18"/>
        <v>90299.359999999986</v>
      </c>
      <c r="D77" s="98">
        <v>24306.55</v>
      </c>
      <c r="E77" s="98">
        <f>10485+276121.95+1579.27</f>
        <v>288186.22000000003</v>
      </c>
      <c r="F77" s="98"/>
      <c r="G77" s="98">
        <v>402792.13</v>
      </c>
      <c r="H77" s="98">
        <v>483350.55</v>
      </c>
      <c r="I77" s="99">
        <f t="shared" si="19"/>
        <v>3044529.8820999996</v>
      </c>
      <c r="J77" s="100">
        <f t="shared" si="20"/>
        <v>3653435.8585199993</v>
      </c>
      <c r="K77" s="101">
        <v>19.489999999999998</v>
      </c>
      <c r="L77" s="102">
        <f t="shared" si="21"/>
        <v>1759934.5263999996</v>
      </c>
      <c r="M77" s="103">
        <v>8.27</v>
      </c>
      <c r="N77" s="102">
        <f t="shared" si="22"/>
        <v>201015.16849999997</v>
      </c>
      <c r="O77" s="103">
        <v>3.76</v>
      </c>
      <c r="P77" s="102">
        <f t="shared" si="23"/>
        <v>1083580.1872</v>
      </c>
      <c r="Q77" s="104"/>
      <c r="R77" s="104"/>
      <c r="S77" s="42">
        <f t="shared" si="11"/>
        <v>3044529.8820999996</v>
      </c>
    </row>
    <row r="78" spans="1:19" x14ac:dyDescent="0.25">
      <c r="A78" s="97">
        <v>75</v>
      </c>
      <c r="B78" s="97" t="s">
        <v>162</v>
      </c>
      <c r="C78" s="98">
        <f t="shared" si="18"/>
        <v>92552.349999999977</v>
      </c>
      <c r="D78" s="98">
        <v>24309.64</v>
      </c>
      <c r="E78" s="98">
        <f>39839+348206.87+1579</f>
        <v>389624.87</v>
      </c>
      <c r="F78" s="98"/>
      <c r="G78" s="98">
        <v>506486.86</v>
      </c>
      <c r="H78" s="98">
        <f>G78*1.2</f>
        <v>607784.23199999996</v>
      </c>
      <c r="I78" s="99">
        <f t="shared" si="19"/>
        <v>3469875.5354999993</v>
      </c>
      <c r="J78" s="100">
        <f t="shared" si="20"/>
        <v>4163850.642599999</v>
      </c>
      <c r="K78" s="101">
        <v>19.489999999999998</v>
      </c>
      <c r="L78" s="102">
        <f t="shared" si="21"/>
        <v>1803845.3014999994</v>
      </c>
      <c r="M78" s="103">
        <v>8.27</v>
      </c>
      <c r="N78" s="102">
        <f t="shared" si="22"/>
        <v>201040.72279999999</v>
      </c>
      <c r="O78" s="103">
        <v>3.76</v>
      </c>
      <c r="P78" s="102">
        <f t="shared" si="23"/>
        <v>1464989.5111999998</v>
      </c>
      <c r="Q78" s="104"/>
      <c r="R78" s="104"/>
      <c r="S78" s="42">
        <f t="shared" si="11"/>
        <v>3469875.5354999993</v>
      </c>
    </row>
    <row r="79" spans="1:19" x14ac:dyDescent="0.25">
      <c r="A79" s="97">
        <v>76</v>
      </c>
      <c r="B79" s="97" t="s">
        <v>163</v>
      </c>
      <c r="C79" s="98">
        <f t="shared" si="18"/>
        <v>102959.15000000002</v>
      </c>
      <c r="D79" s="98">
        <v>25491.35</v>
      </c>
      <c r="E79" s="98">
        <f>39839+437913.63+1579</f>
        <v>479331.63</v>
      </c>
      <c r="F79" s="98"/>
      <c r="G79" s="98">
        <v>607782.13</v>
      </c>
      <c r="H79" s="98">
        <v>729338.55</v>
      </c>
      <c r="I79" s="99">
        <f t="shared" si="19"/>
        <v>4019774.2267999998</v>
      </c>
      <c r="J79" s="100">
        <f t="shared" si="20"/>
        <v>4823729.07216</v>
      </c>
      <c r="K79" s="101">
        <v>19.489999999999998</v>
      </c>
      <c r="L79" s="102">
        <f t="shared" si="21"/>
        <v>2006673.8335000002</v>
      </c>
      <c r="M79" s="103">
        <v>8.27</v>
      </c>
      <c r="N79" s="102">
        <f t="shared" si="22"/>
        <v>210813.46449999997</v>
      </c>
      <c r="O79" s="103">
        <v>3.76</v>
      </c>
      <c r="P79" s="102">
        <f t="shared" si="23"/>
        <v>1802286.9287999999</v>
      </c>
      <c r="Q79" s="104"/>
      <c r="R79" s="104"/>
      <c r="S79" s="42">
        <f t="shared" si="11"/>
        <v>4019774.2267999998</v>
      </c>
    </row>
    <row r="80" spans="1:19" ht="22.5" x14ac:dyDescent="0.25">
      <c r="A80" s="97">
        <v>77</v>
      </c>
      <c r="B80" s="97" t="s">
        <v>164</v>
      </c>
      <c r="C80" s="98">
        <f t="shared" si="18"/>
        <v>128262.90000000002</v>
      </c>
      <c r="D80" s="98">
        <v>29999.38</v>
      </c>
      <c r="E80" s="98">
        <f>10485+468956.87+2306.65</f>
        <v>481748.52</v>
      </c>
      <c r="F80" s="98"/>
      <c r="G80" s="98">
        <v>640010.80000000005</v>
      </c>
      <c r="H80" s="98">
        <f>G80*1.2</f>
        <v>768012.96000000008</v>
      </c>
      <c r="I80" s="99">
        <f t="shared" si="19"/>
        <v>4559313.2287999997</v>
      </c>
      <c r="J80" s="100">
        <f t="shared" si="20"/>
        <v>5471175.8745599994</v>
      </c>
      <c r="K80" s="101">
        <v>19.489999999999998</v>
      </c>
      <c r="L80" s="102">
        <f t="shared" si="21"/>
        <v>2499843.9210000001</v>
      </c>
      <c r="M80" s="103">
        <v>8.27</v>
      </c>
      <c r="N80" s="102">
        <f t="shared" si="22"/>
        <v>248094.8726</v>
      </c>
      <c r="O80" s="103">
        <v>3.76</v>
      </c>
      <c r="P80" s="102">
        <f t="shared" si="23"/>
        <v>1811374.4351999999</v>
      </c>
      <c r="Q80" s="104"/>
      <c r="R80" s="104"/>
      <c r="S80" s="42">
        <f t="shared" si="11"/>
        <v>4559313.2287999997</v>
      </c>
    </row>
    <row r="81" spans="1:19" ht="22.5" x14ac:dyDescent="0.25">
      <c r="A81" s="97">
        <v>78</v>
      </c>
      <c r="B81" s="97" t="s">
        <v>165</v>
      </c>
      <c r="C81" s="98">
        <f t="shared" si="18"/>
        <v>135550.27000000002</v>
      </c>
      <c r="D81" s="98">
        <v>30089.48</v>
      </c>
      <c r="E81" s="98">
        <f>10485+561855.39+2306.65</f>
        <v>574647.04000000004</v>
      </c>
      <c r="F81" s="98"/>
      <c r="G81" s="98">
        <v>740286.79</v>
      </c>
      <c r="H81" s="98">
        <v>888344.14</v>
      </c>
      <c r="I81" s="99">
        <f t="shared" si="19"/>
        <v>5051387.6323000006</v>
      </c>
      <c r="J81" s="100">
        <f t="shared" si="20"/>
        <v>6061665.158760001</v>
      </c>
      <c r="K81" s="101">
        <v>19.489999999999998</v>
      </c>
      <c r="L81" s="102">
        <f t="shared" si="21"/>
        <v>2641874.7623000001</v>
      </c>
      <c r="M81" s="103">
        <v>8.27</v>
      </c>
      <c r="N81" s="102">
        <f t="shared" si="22"/>
        <v>248839.99959999998</v>
      </c>
      <c r="O81" s="103">
        <v>3.76</v>
      </c>
      <c r="P81" s="102">
        <f t="shared" si="23"/>
        <v>2160672.8703999999</v>
      </c>
      <c r="Q81" s="104"/>
      <c r="R81" s="104"/>
      <c r="S81" s="42">
        <f t="shared" si="11"/>
        <v>5051387.6323000006</v>
      </c>
    </row>
    <row r="82" spans="1:19" ht="22.5" x14ac:dyDescent="0.25">
      <c r="A82" s="97">
        <v>79</v>
      </c>
      <c r="B82" s="97" t="s">
        <v>166</v>
      </c>
      <c r="C82" s="98">
        <f t="shared" si="18"/>
        <v>161914.1599999998</v>
      </c>
      <c r="D82" s="98">
        <v>32459.06</v>
      </c>
      <c r="E82" s="98">
        <f>54515.34+874658.67+2306.65</f>
        <v>931480.66</v>
      </c>
      <c r="F82" s="98"/>
      <c r="G82" s="98">
        <v>1125853.8799999999</v>
      </c>
      <c r="H82" s="98">
        <f t="shared" ref="H82:H88" si="24">G82*1.2</f>
        <v>1351024.6559999997</v>
      </c>
      <c r="I82" s="99">
        <f t="shared" si="19"/>
        <v>6926510.6861999957</v>
      </c>
      <c r="J82" s="100">
        <f t="shared" si="20"/>
        <v>8311812.8234399948</v>
      </c>
      <c r="K82" s="101">
        <v>19.489999999999998</v>
      </c>
      <c r="L82" s="102">
        <f t="shared" si="21"/>
        <v>3155706.9783999957</v>
      </c>
      <c r="M82" s="103">
        <v>8.27</v>
      </c>
      <c r="N82" s="102">
        <f t="shared" si="22"/>
        <v>268436.42619999999</v>
      </c>
      <c r="O82" s="103">
        <v>3.76</v>
      </c>
      <c r="P82" s="102">
        <f t="shared" si="23"/>
        <v>3502367.2815999999</v>
      </c>
      <c r="Q82" s="104"/>
      <c r="R82" s="104"/>
      <c r="S82" s="42">
        <f t="shared" si="11"/>
        <v>6926510.6861999957</v>
      </c>
    </row>
    <row r="83" spans="1:19" x14ac:dyDescent="0.25">
      <c r="A83" s="97">
        <v>80</v>
      </c>
      <c r="B83" s="97" t="s">
        <v>167</v>
      </c>
      <c r="C83" s="98">
        <f>G83-E83-D83</f>
        <v>84280.610000000044</v>
      </c>
      <c r="D83" s="98">
        <v>24220.15</v>
      </c>
      <c r="E83" s="98">
        <f>10485+206565.68+1579.27</f>
        <v>218629.94999999998</v>
      </c>
      <c r="F83" s="98"/>
      <c r="G83" s="98">
        <v>327130.71000000002</v>
      </c>
      <c r="H83" s="98">
        <f t="shared" si="24"/>
        <v>392556.85200000001</v>
      </c>
      <c r="I83" s="99">
        <f t="shared" si="19"/>
        <v>2664978.3414000007</v>
      </c>
      <c r="J83" s="100">
        <f t="shared" si="20"/>
        <v>3197974.0096800006</v>
      </c>
      <c r="K83" s="101">
        <v>19.489999999999998</v>
      </c>
      <c r="L83" s="102">
        <f t="shared" si="21"/>
        <v>1642629.0889000008</v>
      </c>
      <c r="M83" s="103">
        <v>8.27</v>
      </c>
      <c r="N83" s="102">
        <f t="shared" si="22"/>
        <v>200300.64050000001</v>
      </c>
      <c r="O83" s="103">
        <v>3.76</v>
      </c>
      <c r="P83" s="102">
        <f t="shared" si="23"/>
        <v>822048.61199999985</v>
      </c>
      <c r="Q83" s="104"/>
      <c r="R83" s="104"/>
      <c r="S83" s="42">
        <f t="shared" si="11"/>
        <v>2664978.3414000007</v>
      </c>
    </row>
    <row r="84" spans="1:19" x14ac:dyDescent="0.25">
      <c r="A84" s="97">
        <v>81</v>
      </c>
      <c r="B84" s="97" t="s">
        <v>168</v>
      </c>
      <c r="C84" s="98">
        <f>G84-E84-D84</f>
        <v>97818.620000000024</v>
      </c>
      <c r="D84" s="98">
        <v>25397.72</v>
      </c>
      <c r="E84" s="98">
        <f>10485+331540.85+1579.27</f>
        <v>343605.12</v>
      </c>
      <c r="F84" s="98"/>
      <c r="G84" s="98">
        <v>466821.46</v>
      </c>
      <c r="H84" s="98">
        <f t="shared" si="24"/>
        <v>560185.75199999998</v>
      </c>
      <c r="I84" s="99">
        <f t="shared" si="19"/>
        <v>3408479.2994000004</v>
      </c>
      <c r="J84" s="100">
        <f t="shared" si="20"/>
        <v>4090175.1592800003</v>
      </c>
      <c r="K84" s="101">
        <v>19.489999999999998</v>
      </c>
      <c r="L84" s="102">
        <f t="shared" si="21"/>
        <v>1906484.9038000004</v>
      </c>
      <c r="M84" s="103">
        <v>8.27</v>
      </c>
      <c r="N84" s="102">
        <f t="shared" si="22"/>
        <v>210039.14439999999</v>
      </c>
      <c r="O84" s="103">
        <v>3.76</v>
      </c>
      <c r="P84" s="102">
        <f t="shared" si="23"/>
        <v>1291955.2511999998</v>
      </c>
      <c r="Q84" s="104"/>
      <c r="R84" s="104"/>
      <c r="S84" s="42">
        <f t="shared" si="11"/>
        <v>3408479.2994000004</v>
      </c>
    </row>
    <row r="85" spans="1:19" x14ac:dyDescent="0.25">
      <c r="A85" s="97">
        <v>82</v>
      </c>
      <c r="B85" s="97" t="s">
        <v>169</v>
      </c>
      <c r="C85" s="98">
        <f>G85-E85-D85</f>
        <v>100153.28999999996</v>
      </c>
      <c r="D85" s="98">
        <v>25492.49</v>
      </c>
      <c r="E85" s="98">
        <f>10485+358781.02+1579.27</f>
        <v>370845.29000000004</v>
      </c>
      <c r="F85" s="98"/>
      <c r="G85" s="98">
        <v>496491.07</v>
      </c>
      <c r="H85" s="98">
        <f t="shared" si="24"/>
        <v>595789.28399999999</v>
      </c>
      <c r="I85" s="99">
        <f t="shared" si="19"/>
        <v>3557188.8047999991</v>
      </c>
      <c r="J85" s="100">
        <f t="shared" si="20"/>
        <v>4268626.5657599987</v>
      </c>
      <c r="K85" s="101">
        <v>19.489999999999998</v>
      </c>
      <c r="L85" s="102">
        <f t="shared" si="21"/>
        <v>1951987.6220999991</v>
      </c>
      <c r="M85" s="103">
        <v>8.27</v>
      </c>
      <c r="N85" s="102">
        <f t="shared" si="22"/>
        <v>210822.89230000001</v>
      </c>
      <c r="O85" s="103">
        <v>3.76</v>
      </c>
      <c r="P85" s="102">
        <f t="shared" si="23"/>
        <v>1394378.2904000001</v>
      </c>
      <c r="Q85" s="104"/>
      <c r="R85" s="104"/>
      <c r="S85" s="42">
        <f t="shared" si="11"/>
        <v>3557188.8047999991</v>
      </c>
    </row>
    <row r="86" spans="1:19" x14ac:dyDescent="0.25">
      <c r="A86" s="97">
        <v>83</v>
      </c>
      <c r="B86" s="97" t="s">
        <v>170</v>
      </c>
      <c r="C86" s="98">
        <f>G86-E86-D86</f>
        <v>104088.18999999994</v>
      </c>
      <c r="D86" s="98">
        <v>25502.32</v>
      </c>
      <c r="E86" s="98">
        <f>10485+409211.45+1579.27</f>
        <v>421275.72000000003</v>
      </c>
      <c r="F86" s="98"/>
      <c r="G86" s="98">
        <v>550866.23</v>
      </c>
      <c r="H86" s="98">
        <f t="shared" si="24"/>
        <v>661039.47599999991</v>
      </c>
      <c r="I86" s="99">
        <f t="shared" si="19"/>
        <v>3823579.7166999988</v>
      </c>
      <c r="J86" s="100">
        <f t="shared" si="20"/>
        <v>4588295.6600399986</v>
      </c>
      <c r="K86" s="101">
        <v>19.489999999999998</v>
      </c>
      <c r="L86" s="102">
        <f t="shared" si="21"/>
        <v>2028678.8230999988</v>
      </c>
      <c r="M86" s="103">
        <v>8.27</v>
      </c>
      <c r="N86" s="102">
        <f t="shared" si="22"/>
        <v>210904.18639999998</v>
      </c>
      <c r="O86" s="103">
        <v>3.76</v>
      </c>
      <c r="P86" s="102">
        <f t="shared" si="23"/>
        <v>1583996.7072000001</v>
      </c>
      <c r="Q86" s="104"/>
      <c r="R86" s="104"/>
      <c r="S86" s="42">
        <f t="shared" si="11"/>
        <v>3823579.7166999988</v>
      </c>
    </row>
    <row r="87" spans="1:19" x14ac:dyDescent="0.25">
      <c r="A87" s="97">
        <v>84</v>
      </c>
      <c r="B87" s="97" t="s">
        <v>171</v>
      </c>
      <c r="C87" s="98">
        <f>G87-E87-D87</f>
        <v>103720.82999999994</v>
      </c>
      <c r="D87" s="98">
        <v>25507.05</v>
      </c>
      <c r="E87" s="98">
        <f>39838.56+447447.4+1579.27</f>
        <v>488865.23000000004</v>
      </c>
      <c r="F87" s="98"/>
      <c r="G87" s="98">
        <v>618093.11</v>
      </c>
      <c r="H87" s="98">
        <f t="shared" si="24"/>
        <v>741711.73199999996</v>
      </c>
      <c r="I87" s="99">
        <f t="shared" si="19"/>
        <v>4070595.544999999</v>
      </c>
      <c r="J87" s="100">
        <f t="shared" si="20"/>
        <v>4884714.6539999982</v>
      </c>
      <c r="K87" s="101">
        <v>19.489999999999998</v>
      </c>
      <c r="L87" s="102">
        <f t="shared" si="21"/>
        <v>2021518.9766999988</v>
      </c>
      <c r="M87" s="103">
        <v>8.27</v>
      </c>
      <c r="N87" s="102">
        <f t="shared" si="22"/>
        <v>210943.30349999998</v>
      </c>
      <c r="O87" s="103">
        <v>3.76</v>
      </c>
      <c r="P87" s="102">
        <f t="shared" si="23"/>
        <v>1838133.2648</v>
      </c>
      <c r="Q87" s="104"/>
      <c r="R87" s="104"/>
      <c r="S87" s="42">
        <f t="shared" si="11"/>
        <v>4070595.544999999</v>
      </c>
    </row>
    <row r="88" spans="1:19" x14ac:dyDescent="0.25">
      <c r="A88" s="97">
        <v>85</v>
      </c>
      <c r="B88" s="97" t="s">
        <v>172</v>
      </c>
      <c r="C88" s="98">
        <f>G88-D88-E88</f>
        <v>104110.94999999995</v>
      </c>
      <c r="D88" s="98">
        <v>27059.89</v>
      </c>
      <c r="E88" s="98">
        <f>39838.56+528046.98+1579.27</f>
        <v>569464.81000000006</v>
      </c>
      <c r="F88" s="98"/>
      <c r="G88" s="98">
        <v>700635.65</v>
      </c>
      <c r="H88" s="98">
        <f t="shared" si="24"/>
        <v>840762.78</v>
      </c>
      <c r="I88" s="99">
        <f t="shared" si="19"/>
        <v>4394095.3913999982</v>
      </c>
      <c r="J88" s="100">
        <f t="shared" si="20"/>
        <v>5272914.4696799973</v>
      </c>
      <c r="K88" s="101">
        <v>19.489999999999998</v>
      </c>
      <c r="L88" s="102">
        <f t="shared" si="21"/>
        <v>2029122.415499999</v>
      </c>
      <c r="M88" s="103">
        <v>8.27</v>
      </c>
      <c r="N88" s="102">
        <f t="shared" si="22"/>
        <v>223785.29029999999</v>
      </c>
      <c r="O88" s="103">
        <v>3.76</v>
      </c>
      <c r="P88" s="102">
        <f t="shared" si="23"/>
        <v>2141187.6856</v>
      </c>
      <c r="Q88" s="104"/>
      <c r="R88" s="104"/>
      <c r="S88" s="42">
        <f t="shared" si="11"/>
        <v>4394095.3913999982</v>
      </c>
    </row>
    <row r="89" spans="1:19" x14ac:dyDescent="0.25">
      <c r="A89" s="97">
        <v>86</v>
      </c>
      <c r="B89" s="97" t="s">
        <v>173</v>
      </c>
      <c r="C89" s="98">
        <f>G89-D89-E89</f>
        <v>116115.15000000002</v>
      </c>
      <c r="D89" s="98">
        <v>29019.96</v>
      </c>
      <c r="E89" s="98">
        <f>39838.56+571205.43+1579.27</f>
        <v>612623.26</v>
      </c>
      <c r="F89" s="98"/>
      <c r="G89" s="98">
        <v>757758.37</v>
      </c>
      <c r="H89" s="98">
        <v>909310.05</v>
      </c>
      <c r="I89" s="99">
        <f t="shared" si="19"/>
        <v>4806542.8003000002</v>
      </c>
      <c r="J89" s="100">
        <f t="shared" si="20"/>
        <v>5767851.3603600003</v>
      </c>
      <c r="K89" s="101">
        <v>19.489999999999998</v>
      </c>
      <c r="L89" s="102">
        <f t="shared" si="21"/>
        <v>2263084.2735000001</v>
      </c>
      <c r="M89" s="103">
        <v>8.27</v>
      </c>
      <c r="N89" s="102">
        <f t="shared" si="22"/>
        <v>239995.06919999997</v>
      </c>
      <c r="O89" s="103">
        <v>3.76</v>
      </c>
      <c r="P89" s="102">
        <f t="shared" si="23"/>
        <v>2303463.4575999998</v>
      </c>
      <c r="Q89" s="104"/>
      <c r="R89" s="104"/>
      <c r="S89" s="42">
        <f t="shared" si="11"/>
        <v>4806542.8003000002</v>
      </c>
    </row>
    <row r="90" spans="1:19" ht="23.25" x14ac:dyDescent="0.25">
      <c r="A90" s="97">
        <v>87</v>
      </c>
      <c r="B90" s="105" t="s">
        <v>174</v>
      </c>
      <c r="C90" s="98">
        <f>G90-E90-D90</f>
        <v>148810.44000000006</v>
      </c>
      <c r="D90" s="98">
        <v>32339.61</v>
      </c>
      <c r="E90" s="98">
        <f>54515.34+714058.98+2306.65</f>
        <v>770880.97</v>
      </c>
      <c r="F90" s="98"/>
      <c r="G90" s="98">
        <v>952031.02</v>
      </c>
      <c r="H90" s="98">
        <f>G90*1.2</f>
        <v>1142437.2239999999</v>
      </c>
      <c r="I90" s="99">
        <f t="shared" si="19"/>
        <v>6066276.4975000005</v>
      </c>
      <c r="J90" s="100">
        <f t="shared" si="20"/>
        <v>7279531.7970000003</v>
      </c>
      <c r="K90" s="101">
        <v>19.489999999999998</v>
      </c>
      <c r="L90" s="102">
        <f t="shared" si="21"/>
        <v>2900315.4756000009</v>
      </c>
      <c r="M90" s="103">
        <v>8.27</v>
      </c>
      <c r="N90" s="102">
        <f t="shared" si="22"/>
        <v>267448.5747</v>
      </c>
      <c r="O90" s="103">
        <v>3.76</v>
      </c>
      <c r="P90" s="102">
        <f t="shared" si="23"/>
        <v>2898512.4471999998</v>
      </c>
      <c r="Q90" s="104"/>
      <c r="R90" s="104"/>
      <c r="S90" s="42">
        <f t="shared" si="11"/>
        <v>6066276.4975000005</v>
      </c>
    </row>
    <row r="91" spans="1:19" s="15" customFormat="1" ht="23.25" x14ac:dyDescent="0.25">
      <c r="A91" s="97">
        <v>88</v>
      </c>
      <c r="B91" s="105" t="s">
        <v>175</v>
      </c>
      <c r="C91" s="98">
        <f>G91-E91-D91</f>
        <v>156749.34000000005</v>
      </c>
      <c r="D91" s="98">
        <v>32359.35</v>
      </c>
      <c r="E91" s="98">
        <f>54515.34+814286.42+2306.65</f>
        <v>871108.41</v>
      </c>
      <c r="F91" s="98"/>
      <c r="G91" s="98">
        <v>1060217.1000000001</v>
      </c>
      <c r="H91" s="98">
        <f>G91*1.2</f>
        <v>1272260.52</v>
      </c>
      <c r="I91" s="99">
        <f t="shared" si="19"/>
        <v>6598024.0827000011</v>
      </c>
      <c r="J91" s="100">
        <f t="shared" si="20"/>
        <v>7917628.8992400011</v>
      </c>
      <c r="K91" s="101">
        <v>19.489999999999998</v>
      </c>
      <c r="L91" s="102">
        <f t="shared" si="21"/>
        <v>3055044.6366000008</v>
      </c>
      <c r="M91" s="103">
        <v>8.27</v>
      </c>
      <c r="N91" s="102">
        <f t="shared" si="22"/>
        <v>267611.82449999999</v>
      </c>
      <c r="O91" s="103">
        <v>3.76</v>
      </c>
      <c r="P91" s="102">
        <f t="shared" si="23"/>
        <v>3275367.6215999997</v>
      </c>
      <c r="Q91" s="104"/>
      <c r="R91" s="104"/>
      <c r="S91" s="42">
        <f t="shared" si="11"/>
        <v>6598024.0827000011</v>
      </c>
    </row>
    <row r="92" spans="1:19" ht="23.25" x14ac:dyDescent="0.25">
      <c r="A92" s="97">
        <v>89</v>
      </c>
      <c r="B92" s="105" t="s">
        <v>176</v>
      </c>
      <c r="C92" s="98">
        <f>G92-E92-D92</f>
        <v>188351.7899999998</v>
      </c>
      <c r="D92" s="98">
        <v>39322.5</v>
      </c>
      <c r="E92" s="98">
        <f>54515.34+1138136.87+2306.65</f>
        <v>1194958.8600000001</v>
      </c>
      <c r="F92" s="98"/>
      <c r="G92" s="98">
        <v>1422633.15</v>
      </c>
      <c r="H92" s="98">
        <f>G92*1.2</f>
        <v>1707159.7799999998</v>
      </c>
      <c r="I92" s="99">
        <f t="shared" si="19"/>
        <v>8489218.7756999955</v>
      </c>
      <c r="J92" s="100">
        <f t="shared" si="20"/>
        <v>10187062.530839995</v>
      </c>
      <c r="K92" s="101">
        <v>19.489999999999998</v>
      </c>
      <c r="L92" s="102">
        <f t="shared" si="21"/>
        <v>3670976.3870999957</v>
      </c>
      <c r="M92" s="103">
        <v>8.27</v>
      </c>
      <c r="N92" s="102">
        <f t="shared" si="22"/>
        <v>325197.07500000001</v>
      </c>
      <c r="O92" s="103">
        <v>3.76</v>
      </c>
      <c r="P92" s="102">
        <f t="shared" si="23"/>
        <v>4493045.3136</v>
      </c>
      <c r="Q92" s="104"/>
      <c r="R92" s="104"/>
      <c r="S92" s="42">
        <f t="shared" si="11"/>
        <v>8489218.7756999955</v>
      </c>
    </row>
    <row r="93" spans="1:19" x14ac:dyDescent="0.25">
      <c r="A93" s="97">
        <v>90</v>
      </c>
      <c r="B93" s="105" t="s">
        <v>177</v>
      </c>
      <c r="C93" s="98">
        <f>G93-D93-E93</f>
        <v>105670.34000000004</v>
      </c>
      <c r="D93" s="98">
        <v>32699.42</v>
      </c>
      <c r="E93" s="98">
        <f>10485+117170.73+2306.65</f>
        <v>129962.37999999999</v>
      </c>
      <c r="F93" s="98"/>
      <c r="G93" s="98">
        <v>268332.14</v>
      </c>
      <c r="H93" s="98">
        <v>321998.56</v>
      </c>
      <c r="I93" s="99">
        <f t="shared" si="19"/>
        <v>2818597.6788000008</v>
      </c>
      <c r="J93" s="100">
        <f t="shared" si="20"/>
        <v>3382317.2145600007</v>
      </c>
      <c r="K93" s="101">
        <v>19.489999999999998</v>
      </c>
      <c r="L93" s="102">
        <f t="shared" si="21"/>
        <v>2059514.9266000006</v>
      </c>
      <c r="M93" s="103">
        <v>8.27</v>
      </c>
      <c r="N93" s="102">
        <f t="shared" si="22"/>
        <v>270424.2034</v>
      </c>
      <c r="O93" s="103">
        <v>3.76</v>
      </c>
      <c r="P93" s="102">
        <f t="shared" si="23"/>
        <v>488658.54879999993</v>
      </c>
      <c r="Q93" s="104"/>
      <c r="R93" s="104"/>
      <c r="S93" s="42">
        <f t="shared" si="11"/>
        <v>2818597.6788000008</v>
      </c>
    </row>
    <row r="94" spans="1:19" x14ac:dyDescent="0.25">
      <c r="A94" s="97">
        <v>91</v>
      </c>
      <c r="B94" s="105" t="s">
        <v>178</v>
      </c>
      <c r="C94" s="98">
        <f>G94-E94-D94</f>
        <v>106425.31000000003</v>
      </c>
      <c r="D94" s="98">
        <v>32172.93</v>
      </c>
      <c r="E94" s="98">
        <f>10485+128659.2+2306.65</f>
        <v>141450.85</v>
      </c>
      <c r="F94" s="98"/>
      <c r="G94" s="98">
        <v>280049.09000000003</v>
      </c>
      <c r="H94" s="98">
        <f>G94*1.2</f>
        <v>336058.908</v>
      </c>
      <c r="I94" s="99">
        <f t="shared" si="19"/>
        <v>2872154.6190000004</v>
      </c>
      <c r="J94" s="100">
        <f t="shared" si="20"/>
        <v>3446585.5428000004</v>
      </c>
      <c r="K94" s="101">
        <v>19.489999999999998</v>
      </c>
      <c r="L94" s="102">
        <f t="shared" si="21"/>
        <v>2074229.2919000003</v>
      </c>
      <c r="M94" s="103">
        <v>8.27</v>
      </c>
      <c r="N94" s="102">
        <f t="shared" si="22"/>
        <v>266070.1311</v>
      </c>
      <c r="O94" s="103">
        <v>3.76</v>
      </c>
      <c r="P94" s="102">
        <f t="shared" si="23"/>
        <v>531855.196</v>
      </c>
      <c r="Q94" s="104"/>
      <c r="R94" s="104"/>
      <c r="S94" s="42">
        <f t="shared" si="11"/>
        <v>2872154.6190000004</v>
      </c>
    </row>
    <row r="95" spans="1:19" x14ac:dyDescent="0.25">
      <c r="A95" s="97">
        <v>92</v>
      </c>
      <c r="B95" s="105" t="s">
        <v>179</v>
      </c>
      <c r="C95" s="98">
        <f>G95-E95-D95</f>
        <v>108779.00000000003</v>
      </c>
      <c r="D95" s="98">
        <v>32206.79</v>
      </c>
      <c r="E95" s="98">
        <f>10485+161278.09+2306.65</f>
        <v>174069.74</v>
      </c>
      <c r="F95" s="98"/>
      <c r="G95" s="98">
        <v>315055.53000000003</v>
      </c>
      <c r="H95" s="98">
        <f>G95*1.2</f>
        <v>378066.636</v>
      </c>
      <c r="I95" s="99">
        <f t="shared" si="19"/>
        <v>3040955.0857000002</v>
      </c>
      <c r="J95" s="100">
        <f t="shared" si="20"/>
        <v>3649146.1028400003</v>
      </c>
      <c r="K95" s="101">
        <v>19.489999999999998</v>
      </c>
      <c r="L95" s="102">
        <f t="shared" si="21"/>
        <v>2120102.7100000004</v>
      </c>
      <c r="M95" s="103">
        <v>8.27</v>
      </c>
      <c r="N95" s="102">
        <f t="shared" si="22"/>
        <v>266350.15330000001</v>
      </c>
      <c r="O95" s="103">
        <v>3.76</v>
      </c>
      <c r="P95" s="102">
        <f t="shared" si="23"/>
        <v>654502.22239999997</v>
      </c>
      <c r="Q95" s="104"/>
      <c r="R95" s="104"/>
      <c r="S95" s="42">
        <f t="shared" si="11"/>
        <v>3040955.0857000002</v>
      </c>
    </row>
    <row r="96" spans="1:19" x14ac:dyDescent="0.25">
      <c r="A96" s="97">
        <v>93</v>
      </c>
      <c r="B96" s="105" t="s">
        <v>180</v>
      </c>
      <c r="C96" s="98">
        <f>G96-E96-D96</f>
        <v>113266.94000000002</v>
      </c>
      <c r="D96" s="98">
        <v>32247.99</v>
      </c>
      <c r="E96" s="98">
        <f>10485+212079.8+2306.65</f>
        <v>224871.44999999998</v>
      </c>
      <c r="F96" s="98"/>
      <c r="G96" s="98">
        <v>370386.38</v>
      </c>
      <c r="H96" s="98">
        <f>G96*1.2</f>
        <v>444463.65600000002</v>
      </c>
      <c r="I96" s="99">
        <f t="shared" si="19"/>
        <v>3319780.1898999996</v>
      </c>
      <c r="J96" s="100">
        <f t="shared" si="20"/>
        <v>3983736.2278799992</v>
      </c>
      <c r="K96" s="101">
        <v>19.489999999999998</v>
      </c>
      <c r="L96" s="102">
        <f t="shared" si="21"/>
        <v>2207572.6606000001</v>
      </c>
      <c r="M96" s="103">
        <v>8.27</v>
      </c>
      <c r="N96" s="102">
        <f t="shared" si="22"/>
        <v>266690.87729999999</v>
      </c>
      <c r="O96" s="103">
        <v>3.76</v>
      </c>
      <c r="P96" s="102">
        <f t="shared" si="23"/>
        <v>845516.65199999989</v>
      </c>
      <c r="Q96" s="104"/>
      <c r="R96" s="104"/>
      <c r="S96" s="42">
        <f t="shared" si="11"/>
        <v>3319780.1898999996</v>
      </c>
    </row>
    <row r="97" spans="1:19" x14ac:dyDescent="0.25">
      <c r="A97" s="97">
        <v>94</v>
      </c>
      <c r="B97" s="105" t="s">
        <v>181</v>
      </c>
      <c r="C97" s="98">
        <f>G97-E97-D97</f>
        <v>115892.09999999998</v>
      </c>
      <c r="D97" s="98">
        <v>32253</v>
      </c>
      <c r="E97" s="98">
        <f>10485+243123.97+2306.65</f>
        <v>255915.62</v>
      </c>
      <c r="F97" s="98"/>
      <c r="G97" s="98">
        <v>404060.72</v>
      </c>
      <c r="H97" s="98">
        <v>484872.87</v>
      </c>
      <c r="I97" s="99">
        <f t="shared" si="19"/>
        <v>3487712.070199999</v>
      </c>
      <c r="J97" s="100">
        <f t="shared" si="20"/>
        <v>4185254.4842399987</v>
      </c>
      <c r="K97" s="101">
        <v>19.489999999999998</v>
      </c>
      <c r="L97" s="102">
        <f t="shared" si="21"/>
        <v>2258737.0289999992</v>
      </c>
      <c r="M97" s="103">
        <v>8.27</v>
      </c>
      <c r="N97" s="102">
        <f t="shared" si="22"/>
        <v>266732.31</v>
      </c>
      <c r="O97" s="103">
        <v>3.76</v>
      </c>
      <c r="P97" s="102">
        <f t="shared" si="23"/>
        <v>962242.73119999992</v>
      </c>
      <c r="Q97" s="104"/>
      <c r="R97" s="104"/>
      <c r="S97" s="42">
        <f t="shared" si="11"/>
        <v>3487712.070199999</v>
      </c>
    </row>
    <row r="98" spans="1:19" x14ac:dyDescent="0.25">
      <c r="A98" s="97">
        <v>95</v>
      </c>
      <c r="B98" s="105" t="s">
        <v>182</v>
      </c>
      <c r="C98" s="98">
        <f>G98-E98-D98</f>
        <v>116592.82</v>
      </c>
      <c r="D98" s="98">
        <v>32253</v>
      </c>
      <c r="E98" s="98">
        <f>39838.56+295309.29+2306.65</f>
        <v>337454.5</v>
      </c>
      <c r="F98" s="98"/>
      <c r="G98" s="98">
        <v>486300.32</v>
      </c>
      <c r="H98" s="98">
        <v>583560.39</v>
      </c>
      <c r="I98" s="99">
        <f t="shared" si="19"/>
        <v>3807955.2917999998</v>
      </c>
      <c r="J98" s="100">
        <f t="shared" si="20"/>
        <v>4569546.3501599999</v>
      </c>
      <c r="K98" s="101">
        <v>19.489999999999998</v>
      </c>
      <c r="L98" s="102">
        <f t="shared" si="21"/>
        <v>2272394.0617999998</v>
      </c>
      <c r="M98" s="103">
        <v>8.27</v>
      </c>
      <c r="N98" s="102">
        <f t="shared" si="22"/>
        <v>266732.31</v>
      </c>
      <c r="O98" s="103">
        <v>3.76</v>
      </c>
      <c r="P98" s="102">
        <f t="shared" si="23"/>
        <v>1268828.92</v>
      </c>
      <c r="Q98" s="104"/>
      <c r="R98" s="104"/>
      <c r="S98" s="42">
        <f t="shared" si="11"/>
        <v>3807955.2917999998</v>
      </c>
    </row>
    <row r="99" spans="1:19" x14ac:dyDescent="0.25">
      <c r="A99" s="97">
        <v>96</v>
      </c>
      <c r="B99" s="105" t="s">
        <v>183</v>
      </c>
      <c r="C99" s="98">
        <f>G99-E99-D98</f>
        <v>123224.15999999992</v>
      </c>
      <c r="D99" s="98">
        <v>32213.759999999998</v>
      </c>
      <c r="E99" s="98">
        <f>39838.56+377823.82+2306.65</f>
        <v>419969.03</v>
      </c>
      <c r="F99" s="98"/>
      <c r="G99" s="98">
        <v>575446.18999999994</v>
      </c>
      <c r="H99" s="98">
        <f>G99*1.2</f>
        <v>690535.42799999996</v>
      </c>
      <c r="I99" s="99">
        <f t="shared" si="19"/>
        <v>4247130.2263999982</v>
      </c>
      <c r="J99" s="100">
        <f t="shared" si="20"/>
        <v>5096556.2716799974</v>
      </c>
      <c r="K99" s="101">
        <v>19.489999999999998</v>
      </c>
      <c r="L99" s="102">
        <f t="shared" si="21"/>
        <v>2401638.8783999979</v>
      </c>
      <c r="M99" s="103">
        <v>8.27</v>
      </c>
      <c r="N99" s="102">
        <f t="shared" si="22"/>
        <v>266407.79519999999</v>
      </c>
      <c r="O99" s="103">
        <v>3.76</v>
      </c>
      <c r="P99" s="102">
        <f t="shared" si="23"/>
        <v>1579083.5527999999</v>
      </c>
      <c r="Q99" s="104"/>
      <c r="R99" s="104"/>
      <c r="S99" s="42">
        <f t="shared" si="11"/>
        <v>4247130.2263999982</v>
      </c>
    </row>
    <row r="100" spans="1:19" x14ac:dyDescent="0.25">
      <c r="A100" s="97">
        <v>97</v>
      </c>
      <c r="B100" s="105" t="s">
        <v>184</v>
      </c>
      <c r="C100" s="98">
        <f t="shared" ref="C100:C163" si="25">G100-E100-D100</f>
        <v>130534.85000000003</v>
      </c>
      <c r="D100" s="98">
        <v>32256.44</v>
      </c>
      <c r="E100" s="98">
        <f>39838.56+464793.31+2306.65</f>
        <v>506938.52</v>
      </c>
      <c r="F100" s="98"/>
      <c r="G100" s="98">
        <v>669729.81000000006</v>
      </c>
      <c r="H100" s="98">
        <v>803675.78</v>
      </c>
      <c r="I100" s="99">
        <f t="shared" si="19"/>
        <v>4716973.8205000004</v>
      </c>
      <c r="J100" s="100">
        <f t="shared" si="20"/>
        <v>5660368.5846000006</v>
      </c>
      <c r="K100" s="101">
        <v>19.489999999999998</v>
      </c>
      <c r="L100" s="102">
        <f t="shared" si="21"/>
        <v>2544124.2265000003</v>
      </c>
      <c r="M100" s="103">
        <v>8.27</v>
      </c>
      <c r="N100" s="102">
        <f t="shared" si="22"/>
        <v>266760.75879999995</v>
      </c>
      <c r="O100" s="103">
        <v>3.76</v>
      </c>
      <c r="P100" s="102">
        <f t="shared" si="23"/>
        <v>1906088.8351999999</v>
      </c>
      <c r="Q100" s="104"/>
      <c r="R100" s="104"/>
      <c r="S100" s="42">
        <f t="shared" si="11"/>
        <v>4716973.8205000004</v>
      </c>
    </row>
    <row r="101" spans="1:19" ht="23.25" x14ac:dyDescent="0.25">
      <c r="A101" s="97">
        <v>98</v>
      </c>
      <c r="B101" s="105" t="s">
        <v>60</v>
      </c>
      <c r="C101" s="98">
        <f t="shared" si="25"/>
        <v>151032.79999999999</v>
      </c>
      <c r="D101" s="98">
        <v>44448.55</v>
      </c>
      <c r="E101" s="98">
        <f>10485+256149.8+2306.65</f>
        <v>268941.45</v>
      </c>
      <c r="F101" s="98"/>
      <c r="G101" s="98">
        <v>464422.8</v>
      </c>
      <c r="H101" s="98">
        <v>557307.35</v>
      </c>
      <c r="I101" s="99">
        <f t="shared" si="19"/>
        <v>4322438.6324999994</v>
      </c>
      <c r="J101" s="100">
        <f t="shared" si="20"/>
        <v>5186926.3589999992</v>
      </c>
      <c r="K101" s="101">
        <v>19.489999999999998</v>
      </c>
      <c r="L101" s="102">
        <f t="shared" si="21"/>
        <v>2943629.2719999994</v>
      </c>
      <c r="M101" s="103">
        <v>8.27</v>
      </c>
      <c r="N101" s="102">
        <f t="shared" si="22"/>
        <v>367589.5085</v>
      </c>
      <c r="O101" s="103">
        <v>3.76</v>
      </c>
      <c r="P101" s="102">
        <f t="shared" si="23"/>
        <v>1011219.852</v>
      </c>
      <c r="Q101" s="104"/>
      <c r="R101" s="104"/>
      <c r="S101" s="42">
        <f t="shared" si="11"/>
        <v>4322438.6324999994</v>
      </c>
    </row>
    <row r="102" spans="1:19" ht="23.25" x14ac:dyDescent="0.25">
      <c r="A102" s="97">
        <v>99</v>
      </c>
      <c r="B102" s="105" t="s">
        <v>61</v>
      </c>
      <c r="C102" s="98">
        <f t="shared" si="25"/>
        <v>156116.17999999993</v>
      </c>
      <c r="D102" s="98">
        <v>44448.55</v>
      </c>
      <c r="E102" s="98">
        <f>10485+321387.58+2306.65</f>
        <v>334179.23000000004</v>
      </c>
      <c r="F102" s="98"/>
      <c r="G102" s="98">
        <v>534743.96</v>
      </c>
      <c r="H102" s="98">
        <f>G102*1.2</f>
        <v>641692.75199999998</v>
      </c>
      <c r="I102" s="99">
        <f t="shared" si="19"/>
        <v>4666807.7614999991</v>
      </c>
      <c r="J102" s="100">
        <f t="shared" si="20"/>
        <v>5600169.3137999987</v>
      </c>
      <c r="K102" s="101">
        <v>19.489999999999998</v>
      </c>
      <c r="L102" s="102">
        <f t="shared" si="21"/>
        <v>3042704.3481999985</v>
      </c>
      <c r="M102" s="103">
        <v>8.27</v>
      </c>
      <c r="N102" s="102">
        <f t="shared" si="22"/>
        <v>367589.5085</v>
      </c>
      <c r="O102" s="103">
        <v>3.76</v>
      </c>
      <c r="P102" s="102">
        <f t="shared" si="23"/>
        <v>1256513.9048000001</v>
      </c>
      <c r="Q102" s="104"/>
      <c r="R102" s="104"/>
      <c r="S102" s="42">
        <f t="shared" si="11"/>
        <v>4666807.7614999991</v>
      </c>
    </row>
    <row r="103" spans="1:19" ht="23.25" x14ac:dyDescent="0.25">
      <c r="A103" s="97">
        <v>100</v>
      </c>
      <c r="B103" s="105" t="s">
        <v>62</v>
      </c>
      <c r="C103" s="98">
        <f t="shared" si="25"/>
        <v>165092.06</v>
      </c>
      <c r="D103" s="98">
        <v>44530.95</v>
      </c>
      <c r="E103" s="98">
        <f>10485+422991+2306.65</f>
        <v>435782.65</v>
      </c>
      <c r="F103" s="98"/>
      <c r="G103" s="98">
        <v>645405.66</v>
      </c>
      <c r="H103" s="98">
        <f>G103*1.2</f>
        <v>774486.79200000002</v>
      </c>
      <c r="I103" s="99">
        <f t="shared" si="19"/>
        <v>5224457.969899999</v>
      </c>
      <c r="J103" s="100">
        <f t="shared" si="20"/>
        <v>6269349.5638799984</v>
      </c>
      <c r="K103" s="101">
        <v>19.489999999999998</v>
      </c>
      <c r="L103" s="102">
        <f t="shared" si="21"/>
        <v>3217644.2493999996</v>
      </c>
      <c r="M103" s="103">
        <v>8.27</v>
      </c>
      <c r="N103" s="102">
        <f t="shared" si="22"/>
        <v>368270.95649999997</v>
      </c>
      <c r="O103" s="103">
        <v>3.76</v>
      </c>
      <c r="P103" s="102">
        <f t="shared" si="23"/>
        <v>1638542.764</v>
      </c>
      <c r="Q103" s="104"/>
      <c r="R103" s="104"/>
      <c r="S103" s="42">
        <f t="shared" si="11"/>
        <v>5224457.969899999</v>
      </c>
    </row>
    <row r="104" spans="1:19" ht="23.25" x14ac:dyDescent="0.25">
      <c r="A104" s="97">
        <v>101</v>
      </c>
      <c r="B104" s="105" t="s">
        <v>63</v>
      </c>
      <c r="C104" s="98">
        <f t="shared" si="25"/>
        <v>174102.44999999998</v>
      </c>
      <c r="D104" s="98">
        <v>44540.97</v>
      </c>
      <c r="E104" s="98">
        <f>10485+484197.41+2306.65</f>
        <v>496989.06</v>
      </c>
      <c r="F104" s="98"/>
      <c r="G104" s="98">
        <v>715632.48</v>
      </c>
      <c r="H104" s="98">
        <f>G104*1.2</f>
        <v>858758.97599999991</v>
      </c>
      <c r="I104" s="99">
        <f t="shared" si="19"/>
        <v>5630289.4379999992</v>
      </c>
      <c r="J104" s="100">
        <f t="shared" si="20"/>
        <v>6756347.3255999992</v>
      </c>
      <c r="K104" s="101">
        <v>19.489999999999998</v>
      </c>
      <c r="L104" s="102">
        <f t="shared" si="21"/>
        <v>3393256.7504999996</v>
      </c>
      <c r="M104" s="103">
        <v>8.27</v>
      </c>
      <c r="N104" s="102">
        <f t="shared" si="22"/>
        <v>368353.82189999998</v>
      </c>
      <c r="O104" s="103">
        <v>3.76</v>
      </c>
      <c r="P104" s="102">
        <f t="shared" si="23"/>
        <v>1868678.8655999999</v>
      </c>
      <c r="Q104" s="104"/>
      <c r="R104" s="104"/>
      <c r="S104" s="42">
        <f t="shared" si="11"/>
        <v>5630289.4379999992</v>
      </c>
    </row>
    <row r="105" spans="1:19" ht="23.25" x14ac:dyDescent="0.25">
      <c r="A105" s="97">
        <v>102</v>
      </c>
      <c r="B105" s="105" t="s">
        <v>64</v>
      </c>
      <c r="C105" s="98">
        <f t="shared" si="25"/>
        <v>176971.35000000006</v>
      </c>
      <c r="D105" s="98">
        <v>44540.97</v>
      </c>
      <c r="E105" s="98">
        <f>54515.34+589449.98+2306.65</f>
        <v>646271.97</v>
      </c>
      <c r="F105" s="98"/>
      <c r="G105" s="98">
        <v>867784.29</v>
      </c>
      <c r="H105" s="98">
        <f>G105*1.2</f>
        <v>1041341.148</v>
      </c>
      <c r="I105" s="99">
        <f t="shared" si="19"/>
        <v>6247508.0406000009</v>
      </c>
      <c r="J105" s="100">
        <f t="shared" si="20"/>
        <v>7497009.6487200009</v>
      </c>
      <c r="K105" s="101">
        <v>19.489999999999998</v>
      </c>
      <c r="L105" s="102">
        <f t="shared" si="21"/>
        <v>3449171.611500001</v>
      </c>
      <c r="M105" s="103">
        <v>8.27</v>
      </c>
      <c r="N105" s="102">
        <f t="shared" si="22"/>
        <v>368353.82189999998</v>
      </c>
      <c r="O105" s="103">
        <v>3.76</v>
      </c>
      <c r="P105" s="102">
        <f t="shared" si="23"/>
        <v>2429982.6072</v>
      </c>
      <c r="Q105" s="104"/>
      <c r="R105" s="104"/>
      <c r="S105" s="42">
        <f t="shared" si="11"/>
        <v>6247508.0406000009</v>
      </c>
    </row>
    <row r="106" spans="1:19" ht="23.25" x14ac:dyDescent="0.25">
      <c r="A106" s="97">
        <v>103</v>
      </c>
      <c r="B106" s="105" t="s">
        <v>65</v>
      </c>
      <c r="C106" s="98">
        <f t="shared" si="25"/>
        <v>190305.47000000006</v>
      </c>
      <c r="D106" s="98">
        <v>44540.97</v>
      </c>
      <c r="E106" s="98">
        <f>2287.17+754361.95+54515.34</f>
        <v>811164.46</v>
      </c>
      <c r="F106" s="98"/>
      <c r="G106" s="98">
        <v>1046010.9</v>
      </c>
      <c r="H106" s="98">
        <f>G106*1.2</f>
        <v>1255213.08</v>
      </c>
      <c r="I106" s="99">
        <f t="shared" si="19"/>
        <v>7127385.8018000005</v>
      </c>
      <c r="J106" s="100">
        <f t="shared" si="20"/>
        <v>8552862.9621600006</v>
      </c>
      <c r="K106" s="101">
        <v>19.489999999999998</v>
      </c>
      <c r="L106" s="102">
        <f t="shared" si="21"/>
        <v>3709053.6103000008</v>
      </c>
      <c r="M106" s="103">
        <v>8.27</v>
      </c>
      <c r="N106" s="102">
        <f t="shared" si="22"/>
        <v>368353.82189999998</v>
      </c>
      <c r="O106" s="103">
        <v>3.76</v>
      </c>
      <c r="P106" s="102">
        <f t="shared" si="23"/>
        <v>3049978.3695999999</v>
      </c>
      <c r="Q106" s="104"/>
      <c r="R106" s="104"/>
      <c r="S106" s="42">
        <f t="shared" si="11"/>
        <v>7127385.8018000005</v>
      </c>
    </row>
    <row r="107" spans="1:19" s="14" customFormat="1" ht="23.25" x14ac:dyDescent="0.25">
      <c r="A107" s="97">
        <v>104</v>
      </c>
      <c r="B107" s="105" t="s">
        <v>185</v>
      </c>
      <c r="C107" s="98">
        <f t="shared" si="25"/>
        <v>205402.1700000001</v>
      </c>
      <c r="D107" s="98">
        <v>44713.69</v>
      </c>
      <c r="E107" s="98">
        <f>54515.34+928418.01+2306.65</f>
        <v>985240</v>
      </c>
      <c r="F107" s="98"/>
      <c r="G107" s="98">
        <v>1235355.8600000001</v>
      </c>
      <c r="H107" s="98">
        <v>1482427.04</v>
      </c>
      <c r="I107" s="99">
        <f t="shared" si="19"/>
        <v>8077572.9096000008</v>
      </c>
      <c r="J107" s="100">
        <f t="shared" si="20"/>
        <v>9693087.4915200006</v>
      </c>
      <c r="K107" s="101">
        <v>19.489999999999998</v>
      </c>
      <c r="L107" s="102">
        <f t="shared" si="21"/>
        <v>4003288.2933000014</v>
      </c>
      <c r="M107" s="103">
        <v>8.27</v>
      </c>
      <c r="N107" s="102">
        <f t="shared" si="22"/>
        <v>369782.21630000003</v>
      </c>
      <c r="O107" s="103">
        <v>3.76</v>
      </c>
      <c r="P107" s="102">
        <f t="shared" si="23"/>
        <v>3704502.4</v>
      </c>
      <c r="Q107" s="104"/>
      <c r="R107" s="104"/>
      <c r="S107" s="42">
        <f t="shared" si="11"/>
        <v>8077572.9096000008</v>
      </c>
    </row>
    <row r="108" spans="1:19" x14ac:dyDescent="0.25">
      <c r="A108" s="97">
        <v>105</v>
      </c>
      <c r="B108" s="105" t="s">
        <v>186</v>
      </c>
      <c r="C108" s="98">
        <f t="shared" si="25"/>
        <v>111616.70999999999</v>
      </c>
      <c r="D108" s="98">
        <v>25677.21</v>
      </c>
      <c r="E108" s="98">
        <f>10485+381310.2+1579.27</f>
        <v>393374.47000000003</v>
      </c>
      <c r="F108" s="98"/>
      <c r="G108" s="98">
        <v>530668.39</v>
      </c>
      <c r="H108" s="98">
        <f>G108*1.2</f>
        <v>636802.06799999997</v>
      </c>
      <c r="I108" s="99">
        <f t="shared" si="19"/>
        <v>3866848.2117999997</v>
      </c>
      <c r="J108" s="100">
        <f t="shared" si="20"/>
        <v>4640217.8541599996</v>
      </c>
      <c r="K108" s="101">
        <v>19.489999999999998</v>
      </c>
      <c r="L108" s="102">
        <f t="shared" si="21"/>
        <v>2175409.6778999995</v>
      </c>
      <c r="M108" s="103">
        <v>8.27</v>
      </c>
      <c r="N108" s="102">
        <f t="shared" si="22"/>
        <v>212350.52669999999</v>
      </c>
      <c r="O108" s="103">
        <v>3.76</v>
      </c>
      <c r="P108" s="102">
        <f t="shared" si="23"/>
        <v>1479088.0072000001</v>
      </c>
      <c r="Q108" s="104"/>
      <c r="R108" s="104"/>
      <c r="S108" s="42">
        <f t="shared" si="11"/>
        <v>3866848.2117999997</v>
      </c>
    </row>
    <row r="109" spans="1:19" x14ac:dyDescent="0.25">
      <c r="A109" s="97">
        <v>106</v>
      </c>
      <c r="B109" s="105" t="s">
        <v>66</v>
      </c>
      <c r="C109" s="98">
        <f t="shared" si="25"/>
        <v>114031.97000000004</v>
      </c>
      <c r="D109" s="98">
        <v>26710.77</v>
      </c>
      <c r="E109" s="98">
        <f>10485+415812.42+1579.27</f>
        <v>427876.69</v>
      </c>
      <c r="F109" s="98"/>
      <c r="G109" s="98">
        <v>568619.43000000005</v>
      </c>
      <c r="H109" s="98">
        <v>682343.31</v>
      </c>
      <c r="I109" s="99">
        <f t="shared" si="19"/>
        <v>4052197.5176000008</v>
      </c>
      <c r="J109" s="100">
        <f t="shared" si="20"/>
        <v>4862637.0211200006</v>
      </c>
      <c r="K109" s="101">
        <v>19.489999999999998</v>
      </c>
      <c r="L109" s="102">
        <f t="shared" si="21"/>
        <v>2222483.0953000006</v>
      </c>
      <c r="M109" s="103">
        <v>8.27</v>
      </c>
      <c r="N109" s="102">
        <f t="shared" si="22"/>
        <v>220898.06789999999</v>
      </c>
      <c r="O109" s="103">
        <v>3.76</v>
      </c>
      <c r="P109" s="102">
        <f t="shared" si="23"/>
        <v>1608816.3543999998</v>
      </c>
      <c r="Q109" s="104"/>
      <c r="R109" s="104"/>
      <c r="S109" s="42">
        <f t="shared" si="11"/>
        <v>4052197.5176000008</v>
      </c>
    </row>
    <row r="110" spans="1:19" x14ac:dyDescent="0.25">
      <c r="A110" s="97">
        <v>107</v>
      </c>
      <c r="B110" s="105" t="s">
        <v>187</v>
      </c>
      <c r="C110" s="98">
        <f t="shared" si="25"/>
        <v>108396.74999999996</v>
      </c>
      <c r="D110" s="98">
        <v>28324.639999999999</v>
      </c>
      <c r="E110" s="98">
        <f>39838.56+473323.62+1579.27</f>
        <v>514741.45</v>
      </c>
      <c r="F110" s="98"/>
      <c r="G110" s="98">
        <v>651462.84</v>
      </c>
      <c r="H110" s="98">
        <f>G110*1.2</f>
        <v>781755.40799999994</v>
      </c>
      <c r="I110" s="99">
        <f t="shared" si="19"/>
        <v>4282325.2822999991</v>
      </c>
      <c r="J110" s="100">
        <f t="shared" si="20"/>
        <v>5138790.3387599988</v>
      </c>
      <c r="K110" s="101">
        <v>19.489999999999998</v>
      </c>
      <c r="L110" s="102">
        <f t="shared" si="21"/>
        <v>2112652.6574999988</v>
      </c>
      <c r="M110" s="103">
        <v>8.27</v>
      </c>
      <c r="N110" s="102">
        <f t="shared" si="22"/>
        <v>234244.77279999998</v>
      </c>
      <c r="O110" s="103">
        <v>3.76</v>
      </c>
      <c r="P110" s="102">
        <f t="shared" si="23"/>
        <v>1935427.852</v>
      </c>
      <c r="Q110" s="104"/>
      <c r="R110" s="104"/>
      <c r="S110" s="42">
        <f t="shared" si="11"/>
        <v>4282325.2822999991</v>
      </c>
    </row>
    <row r="111" spans="1:19" x14ac:dyDescent="0.25">
      <c r="A111" s="97">
        <v>108</v>
      </c>
      <c r="B111" s="105" t="s">
        <v>188</v>
      </c>
      <c r="C111" s="98">
        <f t="shared" si="25"/>
        <v>113655.71000000002</v>
      </c>
      <c r="D111" s="98">
        <v>27447.439999999999</v>
      </c>
      <c r="E111" s="98">
        <f>39838.56+532802.68+1579.27</f>
        <v>574220.51</v>
      </c>
      <c r="F111" s="98"/>
      <c r="G111" s="98">
        <v>715323.66</v>
      </c>
      <c r="H111" s="98">
        <f>G111*1.2</f>
        <v>858388.39199999999</v>
      </c>
      <c r="I111" s="99">
        <f t="shared" si="19"/>
        <v>4601209.2343000006</v>
      </c>
      <c r="J111" s="100">
        <f t="shared" si="20"/>
        <v>5521451.0811600005</v>
      </c>
      <c r="K111" s="101">
        <v>19.489999999999998</v>
      </c>
      <c r="L111" s="102">
        <f t="shared" si="21"/>
        <v>2215149.7879000003</v>
      </c>
      <c r="M111" s="103">
        <v>8.27</v>
      </c>
      <c r="N111" s="102">
        <f t="shared" si="22"/>
        <v>226990.32879999999</v>
      </c>
      <c r="O111" s="103">
        <v>3.76</v>
      </c>
      <c r="P111" s="102">
        <f t="shared" si="23"/>
        <v>2159069.1176</v>
      </c>
      <c r="Q111" s="104"/>
      <c r="R111" s="104"/>
      <c r="S111" s="42">
        <f t="shared" si="11"/>
        <v>4601209.2343000006</v>
      </c>
    </row>
    <row r="112" spans="1:19" x14ac:dyDescent="0.25">
      <c r="A112" s="97">
        <v>109</v>
      </c>
      <c r="B112" s="105" t="s">
        <v>189</v>
      </c>
      <c r="C112" s="98">
        <f t="shared" si="25"/>
        <v>121040.43999999996</v>
      </c>
      <c r="D112" s="98">
        <v>29324.02</v>
      </c>
      <c r="E112" s="98">
        <f>39838.56+605536.51+1579.27</f>
        <v>646954.34000000008</v>
      </c>
      <c r="F112" s="98"/>
      <c r="G112" s="98">
        <v>797318.8</v>
      </c>
      <c r="H112" s="98">
        <f>G112*1.2</f>
        <v>956782.56</v>
      </c>
      <c r="I112" s="99">
        <f t="shared" si="19"/>
        <v>5034136.1393999988</v>
      </c>
      <c r="J112" s="100">
        <f t="shared" si="20"/>
        <v>6040963.367279998</v>
      </c>
      <c r="K112" s="101">
        <v>19.489999999999998</v>
      </c>
      <c r="L112" s="102">
        <f t="shared" si="21"/>
        <v>2359078.1755999988</v>
      </c>
      <c r="M112" s="103">
        <v>8.27</v>
      </c>
      <c r="N112" s="102">
        <f t="shared" si="22"/>
        <v>242509.64539999998</v>
      </c>
      <c r="O112" s="103">
        <v>3.76</v>
      </c>
      <c r="P112" s="102">
        <f t="shared" si="23"/>
        <v>2432548.3184000002</v>
      </c>
      <c r="Q112" s="104"/>
      <c r="R112" s="104"/>
      <c r="S112" s="42">
        <f t="shared" si="11"/>
        <v>5034136.1393999988</v>
      </c>
    </row>
    <row r="113" spans="1:19" x14ac:dyDescent="0.25">
      <c r="A113" s="97">
        <v>110</v>
      </c>
      <c r="B113" s="105" t="s">
        <v>190</v>
      </c>
      <c r="C113" s="98">
        <f t="shared" si="25"/>
        <v>155159.76000000007</v>
      </c>
      <c r="D113" s="98">
        <v>32114.44</v>
      </c>
      <c r="E113" s="98">
        <f>10485+767278.58+2306.65</f>
        <v>780070.23</v>
      </c>
      <c r="F113" s="98"/>
      <c r="G113" s="98">
        <v>967344.43</v>
      </c>
      <c r="H113" s="98">
        <v>1160813.31</v>
      </c>
      <c r="I113" s="99">
        <f t="shared" si="19"/>
        <v>6222714.2060000012</v>
      </c>
      <c r="J113" s="100">
        <f t="shared" si="20"/>
        <v>7467257.0472000008</v>
      </c>
      <c r="K113" s="101">
        <v>19.489999999999998</v>
      </c>
      <c r="L113" s="102">
        <f t="shared" si="21"/>
        <v>3024063.7224000013</v>
      </c>
      <c r="M113" s="103">
        <v>8.27</v>
      </c>
      <c r="N113" s="102">
        <f t="shared" si="22"/>
        <v>265586.41879999998</v>
      </c>
      <c r="O113" s="103">
        <v>3.76</v>
      </c>
      <c r="P113" s="102">
        <f t="shared" si="23"/>
        <v>2933064.0647999998</v>
      </c>
      <c r="Q113" s="104"/>
      <c r="R113" s="104"/>
      <c r="S113" s="42">
        <f t="shared" si="11"/>
        <v>6222714.2060000012</v>
      </c>
    </row>
    <row r="114" spans="1:19" x14ac:dyDescent="0.25">
      <c r="A114" s="97">
        <v>111</v>
      </c>
      <c r="B114" s="105" t="s">
        <v>191</v>
      </c>
      <c r="C114" s="98">
        <f t="shared" si="25"/>
        <v>154602.97000000009</v>
      </c>
      <c r="D114" s="98">
        <v>32140.89</v>
      </c>
      <c r="E114" s="98">
        <f>54515.34+834221.99+2306.65</f>
        <v>891043.98</v>
      </c>
      <c r="F114" s="98"/>
      <c r="G114" s="98">
        <v>1077787.8400000001</v>
      </c>
      <c r="H114" s="98">
        <v>1293345.3999999999</v>
      </c>
      <c r="I114" s="99">
        <f t="shared" si="19"/>
        <v>6629342.4104000013</v>
      </c>
      <c r="J114" s="100">
        <f t="shared" si="20"/>
        <v>7955210.8924800009</v>
      </c>
      <c r="K114" s="101">
        <v>19.489999999999998</v>
      </c>
      <c r="L114" s="102">
        <f t="shared" si="21"/>
        <v>3013211.8853000016</v>
      </c>
      <c r="M114" s="103">
        <v>8.27</v>
      </c>
      <c r="N114" s="102">
        <f t="shared" si="22"/>
        <v>265805.16029999999</v>
      </c>
      <c r="O114" s="103">
        <v>3.76</v>
      </c>
      <c r="P114" s="102">
        <f t="shared" si="23"/>
        <v>3350325.3647999996</v>
      </c>
      <c r="Q114" s="104"/>
      <c r="R114" s="104"/>
      <c r="S114" s="42">
        <f t="shared" si="11"/>
        <v>6629342.4104000013</v>
      </c>
    </row>
    <row r="115" spans="1:19" x14ac:dyDescent="0.25">
      <c r="A115" s="97">
        <v>112</v>
      </c>
      <c r="B115" s="105" t="s">
        <v>192</v>
      </c>
      <c r="C115" s="98">
        <f t="shared" si="25"/>
        <v>169035.63000000003</v>
      </c>
      <c r="D115" s="98">
        <v>36918.29</v>
      </c>
      <c r="E115" s="98">
        <f>54515.34+950369.11+2306.65</f>
        <v>1007191.1</v>
      </c>
      <c r="F115" s="98"/>
      <c r="G115" s="98">
        <v>1213145.02</v>
      </c>
      <c r="H115" s="98">
        <f>G115*1.2</f>
        <v>1455774.024</v>
      </c>
      <c r="I115" s="99">
        <f t="shared" si="19"/>
        <v>7386857.2230000002</v>
      </c>
      <c r="J115" s="100">
        <f t="shared" si="20"/>
        <v>8864228.6676000003</v>
      </c>
      <c r="K115" s="101">
        <v>19.489999999999998</v>
      </c>
      <c r="L115" s="102">
        <f t="shared" si="21"/>
        <v>3294504.4287000005</v>
      </c>
      <c r="M115" s="103">
        <v>8.27</v>
      </c>
      <c r="N115" s="102">
        <f t="shared" si="22"/>
        <v>305314.25829999999</v>
      </c>
      <c r="O115" s="103">
        <v>3.76</v>
      </c>
      <c r="P115" s="102">
        <f t="shared" si="23"/>
        <v>3787038.5359999998</v>
      </c>
      <c r="Q115" s="104"/>
      <c r="R115" s="104"/>
      <c r="S115" s="42">
        <f t="shared" si="11"/>
        <v>7386857.2230000002</v>
      </c>
    </row>
    <row r="116" spans="1:19" x14ac:dyDescent="0.25">
      <c r="A116" s="97">
        <v>113</v>
      </c>
      <c r="B116" s="105" t="s">
        <v>193</v>
      </c>
      <c r="C116" s="98">
        <f t="shared" si="25"/>
        <v>180040.58999999994</v>
      </c>
      <c r="D116" s="98">
        <v>35344.1</v>
      </c>
      <c r="E116" s="98">
        <f>54515.34+1065953.84+2306.65</f>
        <v>1122775.83</v>
      </c>
      <c r="F116" s="98"/>
      <c r="G116" s="98">
        <v>1338160.52</v>
      </c>
      <c r="H116" s="98">
        <v>1605792.63</v>
      </c>
      <c r="I116" s="99">
        <f t="shared" si="19"/>
        <v>8022923.9268999975</v>
      </c>
      <c r="J116" s="100">
        <f t="shared" si="20"/>
        <v>9627508.7122799959</v>
      </c>
      <c r="K116" s="101">
        <v>19.489999999999998</v>
      </c>
      <c r="L116" s="102">
        <f t="shared" si="21"/>
        <v>3508991.0990999984</v>
      </c>
      <c r="M116" s="103">
        <v>8.27</v>
      </c>
      <c r="N116" s="102">
        <f t="shared" si="22"/>
        <v>292295.70699999999</v>
      </c>
      <c r="O116" s="103">
        <v>3.76</v>
      </c>
      <c r="P116" s="102">
        <f t="shared" si="23"/>
        <v>4221637.1207999997</v>
      </c>
      <c r="Q116" s="104"/>
      <c r="R116" s="104"/>
      <c r="S116" s="42">
        <f t="shared" si="11"/>
        <v>8022923.9268999975</v>
      </c>
    </row>
    <row r="117" spans="1:19" x14ac:dyDescent="0.25">
      <c r="A117" s="97">
        <v>114</v>
      </c>
      <c r="B117" s="105" t="s">
        <v>194</v>
      </c>
      <c r="C117" s="98">
        <f t="shared" si="25"/>
        <v>195719.79000000007</v>
      </c>
      <c r="D117" s="98">
        <v>40770.769999999997</v>
      </c>
      <c r="E117" s="98">
        <f>54515.34+1209904.44+2306.65</f>
        <v>1266726.43</v>
      </c>
      <c r="F117" s="98"/>
      <c r="G117" s="98">
        <v>1503216.99</v>
      </c>
      <c r="H117" s="98">
        <v>1803860.38</v>
      </c>
      <c r="I117" s="99">
        <f t="shared" si="19"/>
        <v>8914644.3518000003</v>
      </c>
      <c r="J117" s="100">
        <f t="shared" si="20"/>
        <v>10697573.22216</v>
      </c>
      <c r="K117" s="101">
        <v>19.489999999999998</v>
      </c>
      <c r="L117" s="102">
        <f t="shared" si="21"/>
        <v>3814578.7071000012</v>
      </c>
      <c r="M117" s="103">
        <v>8.27</v>
      </c>
      <c r="N117" s="102">
        <f t="shared" si="22"/>
        <v>337174.26789999998</v>
      </c>
      <c r="O117" s="103">
        <v>3.76</v>
      </c>
      <c r="P117" s="102">
        <f t="shared" si="23"/>
        <v>4762891.3767999997</v>
      </c>
      <c r="Q117" s="104"/>
      <c r="R117" s="104"/>
      <c r="S117" s="42">
        <f t="shared" si="11"/>
        <v>8914644.3518000003</v>
      </c>
    </row>
    <row r="118" spans="1:19" x14ac:dyDescent="0.25">
      <c r="A118" s="97">
        <v>115</v>
      </c>
      <c r="B118" s="105" t="s">
        <v>195</v>
      </c>
      <c r="C118" s="98">
        <f t="shared" si="25"/>
        <v>213215.69000000012</v>
      </c>
      <c r="D118" s="98">
        <v>51389.7</v>
      </c>
      <c r="E118" s="98">
        <f>39838.56+854455.34+1579.27</f>
        <v>895873.16999999993</v>
      </c>
      <c r="F118" s="98"/>
      <c r="G118" s="98">
        <v>1160478.56</v>
      </c>
      <c r="H118" s="98">
        <f t="shared" ref="H118:H123" si="26">G118*1.2</f>
        <v>1392574.2720000001</v>
      </c>
      <c r="I118" s="99">
        <f t="shared" si="19"/>
        <v>7949049.7363000019</v>
      </c>
      <c r="J118" s="100">
        <f t="shared" si="20"/>
        <v>9538859.6835600026</v>
      </c>
      <c r="K118" s="101">
        <v>19.489999999999998</v>
      </c>
      <c r="L118" s="102">
        <f t="shared" si="21"/>
        <v>4155573.7981000021</v>
      </c>
      <c r="M118" s="103">
        <v>8.27</v>
      </c>
      <c r="N118" s="102">
        <f t="shared" si="22"/>
        <v>424992.81899999996</v>
      </c>
      <c r="O118" s="103">
        <v>3.76</v>
      </c>
      <c r="P118" s="102">
        <f t="shared" si="23"/>
        <v>3368483.1191999996</v>
      </c>
      <c r="Q118" s="104"/>
      <c r="R118" s="104"/>
      <c r="S118" s="42">
        <f t="shared" si="11"/>
        <v>7949049.7363000019</v>
      </c>
    </row>
    <row r="119" spans="1:19" x14ac:dyDescent="0.25">
      <c r="A119" s="97">
        <v>116</v>
      </c>
      <c r="B119" s="105" t="s">
        <v>196</v>
      </c>
      <c r="C119" s="98">
        <f t="shared" si="25"/>
        <v>225498.21999999983</v>
      </c>
      <c r="D119" s="98">
        <v>52450.09</v>
      </c>
      <c r="E119" s="98">
        <f>39838.56+1139043.06+1579.27</f>
        <v>1180460.8900000001</v>
      </c>
      <c r="F119" s="98"/>
      <c r="G119" s="98">
        <v>1458409.2</v>
      </c>
      <c r="H119" s="98">
        <f t="shared" si="26"/>
        <v>1750091.0399999998</v>
      </c>
      <c r="I119" s="99">
        <f t="shared" si="19"/>
        <v>9267255.498499997</v>
      </c>
      <c r="J119" s="100">
        <f t="shared" si="20"/>
        <v>11120706.598199995</v>
      </c>
      <c r="K119" s="101">
        <v>19.489999999999998</v>
      </c>
      <c r="L119" s="102">
        <f t="shared" si="21"/>
        <v>4394960.3077999959</v>
      </c>
      <c r="M119" s="103">
        <v>8.27</v>
      </c>
      <c r="N119" s="102">
        <f t="shared" si="22"/>
        <v>433762.24429999996</v>
      </c>
      <c r="O119" s="103">
        <v>3.76</v>
      </c>
      <c r="P119" s="102">
        <f t="shared" si="23"/>
        <v>4438532.9463999998</v>
      </c>
      <c r="Q119" s="104"/>
      <c r="R119" s="104"/>
      <c r="S119" s="42">
        <f t="shared" si="11"/>
        <v>9267255.498499997</v>
      </c>
    </row>
    <row r="120" spans="1:19" x14ac:dyDescent="0.25">
      <c r="A120" s="97">
        <v>117</v>
      </c>
      <c r="B120" s="105" t="s">
        <v>197</v>
      </c>
      <c r="C120" s="98">
        <f t="shared" si="25"/>
        <v>259903.21999999991</v>
      </c>
      <c r="D120" s="98">
        <v>52096.93</v>
      </c>
      <c r="E120" s="98">
        <f>39838.56+1556835.51+1579.27</f>
        <v>1598253.34</v>
      </c>
      <c r="F120" s="98"/>
      <c r="G120" s="98">
        <v>1910253.49</v>
      </c>
      <c r="H120" s="98">
        <f t="shared" si="26"/>
        <v>2292304.1880000001</v>
      </c>
      <c r="I120" s="99">
        <f t="shared" si="19"/>
        <v>11505787.927299999</v>
      </c>
      <c r="J120" s="100">
        <f t="shared" si="20"/>
        <v>13806945.512759998</v>
      </c>
      <c r="K120" s="101">
        <v>19.489999999999998</v>
      </c>
      <c r="L120" s="102">
        <f t="shared" si="21"/>
        <v>5065513.7577999979</v>
      </c>
      <c r="M120" s="103">
        <v>8.27</v>
      </c>
      <c r="N120" s="102">
        <f t="shared" si="22"/>
        <v>430841.61109999998</v>
      </c>
      <c r="O120" s="103">
        <v>3.76</v>
      </c>
      <c r="P120" s="102">
        <f t="shared" si="23"/>
        <v>6009432.5583999995</v>
      </c>
      <c r="Q120" s="104"/>
      <c r="R120" s="104"/>
      <c r="S120" s="42">
        <f t="shared" si="11"/>
        <v>11505787.927299999</v>
      </c>
    </row>
    <row r="121" spans="1:19" x14ac:dyDescent="0.25">
      <c r="A121" s="97">
        <v>118</v>
      </c>
      <c r="B121" s="105" t="s">
        <v>198</v>
      </c>
      <c r="C121" s="98">
        <f t="shared" si="25"/>
        <v>268093.55999999988</v>
      </c>
      <c r="D121" s="98">
        <v>52084.33</v>
      </c>
      <c r="E121" s="98">
        <f>39838.56+1660206.05+1579.27</f>
        <v>1701623.8800000001</v>
      </c>
      <c r="F121" s="98"/>
      <c r="G121" s="98">
        <v>2021801.77</v>
      </c>
      <c r="H121" s="98">
        <f t="shared" si="26"/>
        <v>2426162.1239999998</v>
      </c>
      <c r="I121" s="99">
        <f t="shared" si="19"/>
        <v>12053986.682299998</v>
      </c>
      <c r="J121" s="100">
        <f t="shared" si="20"/>
        <v>14464784.018759998</v>
      </c>
      <c r="K121" s="101">
        <v>19.489999999999998</v>
      </c>
      <c r="L121" s="102">
        <f t="shared" si="21"/>
        <v>5225143.4843999976</v>
      </c>
      <c r="M121" s="103">
        <v>8.27</v>
      </c>
      <c r="N121" s="102">
        <f t="shared" si="22"/>
        <v>430737.40909999999</v>
      </c>
      <c r="O121" s="103">
        <v>3.76</v>
      </c>
      <c r="P121" s="102">
        <f t="shared" si="23"/>
        <v>6398105.7888000002</v>
      </c>
      <c r="Q121" s="104"/>
      <c r="R121" s="104"/>
      <c r="S121" s="42">
        <f t="shared" si="11"/>
        <v>12053986.682299998</v>
      </c>
    </row>
    <row r="122" spans="1:19" x14ac:dyDescent="0.25">
      <c r="A122" s="97">
        <v>119</v>
      </c>
      <c r="B122" s="105" t="s">
        <v>199</v>
      </c>
      <c r="C122" s="98">
        <f t="shared" si="25"/>
        <v>278922.59000000003</v>
      </c>
      <c r="D122" s="98">
        <v>51950.96</v>
      </c>
      <c r="E122" s="98">
        <f>47470.81+1815064.28+1579.27</f>
        <v>1864114.36</v>
      </c>
      <c r="F122" s="98"/>
      <c r="G122" s="98">
        <v>2194987.91</v>
      </c>
      <c r="H122" s="98">
        <f t="shared" si="26"/>
        <v>2633985.4920000001</v>
      </c>
      <c r="I122" s="99">
        <f t="shared" si="19"/>
        <v>12874905.7119</v>
      </c>
      <c r="J122" s="100">
        <f t="shared" si="20"/>
        <v>15449886.854279999</v>
      </c>
      <c r="K122" s="101">
        <v>19.489999999999998</v>
      </c>
      <c r="L122" s="102">
        <f t="shared" si="21"/>
        <v>5436201.2790999999</v>
      </c>
      <c r="M122" s="103">
        <v>8.27</v>
      </c>
      <c r="N122" s="102">
        <f t="shared" si="22"/>
        <v>429634.43919999996</v>
      </c>
      <c r="O122" s="103">
        <v>3.76</v>
      </c>
      <c r="P122" s="102">
        <f t="shared" si="23"/>
        <v>7009069.9935999997</v>
      </c>
      <c r="Q122" s="104"/>
      <c r="R122" s="104"/>
      <c r="S122" s="42">
        <f t="shared" si="11"/>
        <v>12874905.7119</v>
      </c>
    </row>
    <row r="123" spans="1:19" ht="23.25" x14ac:dyDescent="0.25">
      <c r="A123" s="97">
        <v>120</v>
      </c>
      <c r="B123" s="105" t="s">
        <v>200</v>
      </c>
      <c r="C123" s="98">
        <f t="shared" si="25"/>
        <v>447743.54</v>
      </c>
      <c r="D123" s="98">
        <v>87612.94</v>
      </c>
      <c r="E123" s="98">
        <f>54515.34+3109298.87+2306.65</f>
        <v>3166120.86</v>
      </c>
      <c r="F123" s="98"/>
      <c r="G123" s="98">
        <v>3701477.34</v>
      </c>
      <c r="H123" s="98">
        <f t="shared" si="26"/>
        <v>4441772.8079999993</v>
      </c>
      <c r="I123" s="99">
        <f t="shared" si="19"/>
        <v>21355695.041999999</v>
      </c>
      <c r="J123" s="100">
        <f t="shared" si="20"/>
        <v>25626834.0504</v>
      </c>
      <c r="K123" s="101">
        <v>19.489999999999998</v>
      </c>
      <c r="L123" s="102">
        <f t="shared" si="21"/>
        <v>8726521.5945999995</v>
      </c>
      <c r="M123" s="103">
        <v>8.27</v>
      </c>
      <c r="N123" s="102">
        <f t="shared" si="22"/>
        <v>724559.01379999996</v>
      </c>
      <c r="O123" s="103">
        <v>3.76</v>
      </c>
      <c r="P123" s="102">
        <f t="shared" si="23"/>
        <v>11904614.433599999</v>
      </c>
      <c r="Q123" s="104"/>
      <c r="R123" s="104"/>
      <c r="S123" s="42">
        <f t="shared" si="11"/>
        <v>21355695.041999999</v>
      </c>
    </row>
    <row r="124" spans="1:19" ht="23.25" x14ac:dyDescent="0.25">
      <c r="A124" s="97">
        <v>121</v>
      </c>
      <c r="B124" s="105" t="s">
        <v>201</v>
      </c>
      <c r="C124" s="98">
        <f t="shared" si="25"/>
        <v>522706.14</v>
      </c>
      <c r="D124" s="98">
        <v>88690.13</v>
      </c>
      <c r="E124" s="98">
        <f>69963.72+3625294.48+2306.65</f>
        <v>3697564.85</v>
      </c>
      <c r="F124" s="98"/>
      <c r="G124" s="98">
        <v>4308961.12</v>
      </c>
      <c r="H124" s="98">
        <v>5170753.3499999996</v>
      </c>
      <c r="I124" s="99">
        <f t="shared" si="19"/>
        <v>24823853.879699998</v>
      </c>
      <c r="J124" s="100">
        <f t="shared" si="20"/>
        <v>29788624.655639995</v>
      </c>
      <c r="K124" s="101">
        <v>19.489999999999998</v>
      </c>
      <c r="L124" s="102">
        <f t="shared" si="21"/>
        <v>10187542.668599999</v>
      </c>
      <c r="M124" s="103">
        <v>8.27</v>
      </c>
      <c r="N124" s="102">
        <f t="shared" si="22"/>
        <v>733467.37509999995</v>
      </c>
      <c r="O124" s="103">
        <v>3.76</v>
      </c>
      <c r="P124" s="102">
        <f t="shared" si="23"/>
        <v>13902843.835999999</v>
      </c>
      <c r="Q124" s="104"/>
      <c r="R124" s="104"/>
      <c r="S124" s="42">
        <f t="shared" si="11"/>
        <v>24823853.879699998</v>
      </c>
    </row>
    <row r="125" spans="1:19" x14ac:dyDescent="0.25">
      <c r="A125" s="97">
        <v>122</v>
      </c>
      <c r="B125" s="105" t="s">
        <v>67</v>
      </c>
      <c r="C125" s="98">
        <f t="shared" si="25"/>
        <v>127700.22999999994</v>
      </c>
      <c r="D125" s="98">
        <v>32273.95</v>
      </c>
      <c r="E125" s="98">
        <f>39838.56+646241.02+1579.27</f>
        <v>687658.85000000009</v>
      </c>
      <c r="F125" s="98"/>
      <c r="G125" s="98">
        <v>847633.03</v>
      </c>
      <c r="H125" s="98">
        <f>G125*1.2</f>
        <v>1017159.6359999999</v>
      </c>
      <c r="I125" s="99">
        <f t="shared" si="19"/>
        <v>5341380.3251999989</v>
      </c>
      <c r="J125" s="100">
        <f t="shared" si="20"/>
        <v>6409656.3902399987</v>
      </c>
      <c r="K125" s="101">
        <v>19.489999999999998</v>
      </c>
      <c r="L125" s="102">
        <f t="shared" si="21"/>
        <v>2488877.4826999987</v>
      </c>
      <c r="M125" s="103">
        <v>8.27</v>
      </c>
      <c r="N125" s="102">
        <f t="shared" si="22"/>
        <v>266905.56650000002</v>
      </c>
      <c r="O125" s="103">
        <v>3.76</v>
      </c>
      <c r="P125" s="102">
        <f t="shared" si="23"/>
        <v>2585597.2760000001</v>
      </c>
      <c r="Q125" s="104"/>
      <c r="R125" s="104"/>
      <c r="S125" s="42">
        <f t="shared" si="11"/>
        <v>5341380.3251999989</v>
      </c>
    </row>
    <row r="126" spans="1:19" ht="23.25" x14ac:dyDescent="0.25">
      <c r="A126" s="97">
        <v>123</v>
      </c>
      <c r="B126" s="105" t="s">
        <v>202</v>
      </c>
      <c r="C126" s="98">
        <f t="shared" si="25"/>
        <v>806352.95000000065</v>
      </c>
      <c r="D126" s="98">
        <v>155857.48000000001</v>
      </c>
      <c r="E126" s="98">
        <f>109030.68+4507502.97+2306.65</f>
        <v>4618840.3</v>
      </c>
      <c r="F126" s="98"/>
      <c r="G126" s="98">
        <v>5581050.7300000004</v>
      </c>
      <c r="H126" s="98">
        <f>G126*1.2</f>
        <v>6697260.8760000002</v>
      </c>
      <c r="I126" s="99">
        <f t="shared" si="19"/>
        <v>34371599.88310001</v>
      </c>
      <c r="J126" s="100">
        <f t="shared" si="20"/>
        <v>41245919.859720014</v>
      </c>
      <c r="K126" s="101">
        <v>19.489999999999998</v>
      </c>
      <c r="L126" s="102">
        <f t="shared" si="21"/>
        <v>15715818.995500011</v>
      </c>
      <c r="M126" s="103">
        <v>8.27</v>
      </c>
      <c r="N126" s="102">
        <f t="shared" si="22"/>
        <v>1288941.3596000001</v>
      </c>
      <c r="O126" s="103">
        <v>3.76</v>
      </c>
      <c r="P126" s="102">
        <f t="shared" si="23"/>
        <v>17366839.527999997</v>
      </c>
      <c r="Q126" s="104"/>
      <c r="R126" s="104"/>
      <c r="S126" s="42">
        <f t="shared" si="11"/>
        <v>34371599.88310001</v>
      </c>
    </row>
    <row r="127" spans="1:19" ht="23.25" x14ac:dyDescent="0.25">
      <c r="A127" s="97">
        <v>124</v>
      </c>
      <c r="B127" s="105" t="s">
        <v>203</v>
      </c>
      <c r="C127" s="98">
        <f t="shared" si="25"/>
        <v>940728.52000000072</v>
      </c>
      <c r="D127" s="98">
        <v>153141.95000000001</v>
      </c>
      <c r="E127" s="98">
        <f>109030.68+6531699.45+1579.27</f>
        <v>6642309.3999999994</v>
      </c>
      <c r="F127" s="98"/>
      <c r="G127" s="98">
        <v>7736179.8700000001</v>
      </c>
      <c r="H127" s="98">
        <f>G127*1.2</f>
        <v>9283415.8440000005</v>
      </c>
      <c r="I127" s="99">
        <f t="shared" si="19"/>
        <v>44576366.125300005</v>
      </c>
      <c r="J127" s="100">
        <f t="shared" si="20"/>
        <v>53491639.350360006</v>
      </c>
      <c r="K127" s="101">
        <v>19.489999999999998</v>
      </c>
      <c r="L127" s="102">
        <f t="shared" si="21"/>
        <v>18334798.854800012</v>
      </c>
      <c r="M127" s="103">
        <v>8.27</v>
      </c>
      <c r="N127" s="102">
        <f t="shared" si="22"/>
        <v>1266483.9265000001</v>
      </c>
      <c r="O127" s="103">
        <v>3.76</v>
      </c>
      <c r="P127" s="102">
        <f t="shared" si="23"/>
        <v>24975083.343999997</v>
      </c>
      <c r="Q127" s="104"/>
      <c r="R127" s="104"/>
      <c r="S127" s="42">
        <f t="shared" si="11"/>
        <v>44576366.125300005</v>
      </c>
    </row>
    <row r="128" spans="1:19" ht="23.25" x14ac:dyDescent="0.25">
      <c r="A128" s="97">
        <v>125</v>
      </c>
      <c r="B128" s="105" t="s">
        <v>204</v>
      </c>
      <c r="C128" s="98">
        <f t="shared" si="25"/>
        <v>999363.62999999942</v>
      </c>
      <c r="D128" s="98">
        <v>154641.01999999999</v>
      </c>
      <c r="E128" s="98">
        <f>131927.44+7084978.14+2306.65</f>
        <v>7219212.2300000004</v>
      </c>
      <c r="F128" s="98"/>
      <c r="G128" s="98">
        <v>8373216.8799999999</v>
      </c>
      <c r="H128" s="98">
        <v>10047860.25</v>
      </c>
      <c r="I128" s="99">
        <f t="shared" si="19"/>
        <v>47900716.368899986</v>
      </c>
      <c r="J128" s="100">
        <f t="shared" si="20"/>
        <v>57480859.642679982</v>
      </c>
      <c r="K128" s="101">
        <v>19.489999999999998</v>
      </c>
      <c r="L128" s="102">
        <f t="shared" si="21"/>
        <v>19477597.148699988</v>
      </c>
      <c r="M128" s="103">
        <v>8.27</v>
      </c>
      <c r="N128" s="102">
        <f t="shared" si="22"/>
        <v>1278881.2353999999</v>
      </c>
      <c r="O128" s="103">
        <v>3.76</v>
      </c>
      <c r="P128" s="102">
        <f t="shared" si="23"/>
        <v>27144237.9848</v>
      </c>
      <c r="Q128" s="104"/>
      <c r="R128" s="104"/>
      <c r="S128" s="42">
        <f t="shared" si="11"/>
        <v>47900716.368899986</v>
      </c>
    </row>
    <row r="129" spans="1:19" x14ac:dyDescent="0.25">
      <c r="A129" s="97">
        <v>126</v>
      </c>
      <c r="B129" s="105" t="s">
        <v>205</v>
      </c>
      <c r="C129" s="98">
        <f t="shared" si="25"/>
        <v>179585.37000000008</v>
      </c>
      <c r="D129" s="98">
        <v>173282.48</v>
      </c>
      <c r="E129" s="98">
        <v>735124.2</v>
      </c>
      <c r="F129" s="98"/>
      <c r="G129" s="98">
        <v>1087992.05</v>
      </c>
      <c r="H129" s="98">
        <f t="shared" ref="H129:H136" si="27">G129*1.2</f>
        <v>1305590.46</v>
      </c>
      <c r="I129" s="99">
        <f t="shared" si="19"/>
        <v>7697231.9629000006</v>
      </c>
      <c r="J129" s="100">
        <f t="shared" si="20"/>
        <v>9236678.3554800004</v>
      </c>
      <c r="K129" s="101">
        <v>19.489999999999998</v>
      </c>
      <c r="L129" s="102">
        <f t="shared" si="21"/>
        <v>3500118.8613000014</v>
      </c>
      <c r="M129" s="103">
        <v>8.27</v>
      </c>
      <c r="N129" s="102">
        <f t="shared" si="22"/>
        <v>1433046.1096000001</v>
      </c>
      <c r="O129" s="103">
        <v>3.76</v>
      </c>
      <c r="P129" s="102">
        <f t="shared" si="23"/>
        <v>2764066.9919999996</v>
      </c>
      <c r="Q129" s="104"/>
      <c r="R129" s="104"/>
      <c r="S129" s="42">
        <f t="shared" si="11"/>
        <v>7697231.9629000006</v>
      </c>
    </row>
    <row r="130" spans="1:19" ht="23.25" x14ac:dyDescent="0.25">
      <c r="A130" s="97">
        <v>127</v>
      </c>
      <c r="B130" s="105" t="s">
        <v>206</v>
      </c>
      <c r="C130" s="98">
        <f t="shared" si="25"/>
        <v>272399.88999999996</v>
      </c>
      <c r="D130" s="98">
        <v>328144.31</v>
      </c>
      <c r="E130" s="98">
        <v>784737</v>
      </c>
      <c r="F130" s="98"/>
      <c r="G130" s="98">
        <v>1385281.2</v>
      </c>
      <c r="H130" s="98">
        <f t="shared" si="27"/>
        <v>1662337.44</v>
      </c>
      <c r="I130" s="99">
        <f t="shared" si="19"/>
        <v>10973438.419799998</v>
      </c>
      <c r="J130" s="100">
        <f t="shared" si="20"/>
        <v>13168126.103759998</v>
      </c>
      <c r="K130" s="101">
        <v>19.489999999999998</v>
      </c>
      <c r="L130" s="102">
        <f t="shared" si="21"/>
        <v>5309073.8560999986</v>
      </c>
      <c r="M130" s="103">
        <v>8.27</v>
      </c>
      <c r="N130" s="102">
        <f t="shared" si="22"/>
        <v>2713753.4436999997</v>
      </c>
      <c r="O130" s="103">
        <v>3.76</v>
      </c>
      <c r="P130" s="102">
        <f t="shared" si="23"/>
        <v>2950611.1199999996</v>
      </c>
      <c r="Q130" s="104"/>
      <c r="R130" s="104"/>
      <c r="S130" s="42">
        <f t="shared" si="11"/>
        <v>10973438.419799998</v>
      </c>
    </row>
    <row r="131" spans="1:19" ht="23.25" x14ac:dyDescent="0.25">
      <c r="A131" s="97">
        <v>128</v>
      </c>
      <c r="B131" s="105" t="s">
        <v>207</v>
      </c>
      <c r="C131" s="98">
        <f t="shared" si="25"/>
        <v>223951.79000000004</v>
      </c>
      <c r="D131" s="98">
        <v>326989.46999999997</v>
      </c>
      <c r="E131" s="98">
        <v>364303.2</v>
      </c>
      <c r="F131" s="98"/>
      <c r="G131" s="98">
        <v>915244.46</v>
      </c>
      <c r="H131" s="98">
        <f t="shared" si="27"/>
        <v>1098293.352</v>
      </c>
      <c r="I131" s="99">
        <f t="shared" si="19"/>
        <v>8438803.3359999992</v>
      </c>
      <c r="J131" s="100">
        <f t="shared" si="20"/>
        <v>10126564.003199998</v>
      </c>
      <c r="K131" s="101">
        <v>19.489999999999998</v>
      </c>
      <c r="L131" s="102">
        <f t="shared" si="21"/>
        <v>4364820.3870999999</v>
      </c>
      <c r="M131" s="103">
        <v>8.27</v>
      </c>
      <c r="N131" s="102">
        <f t="shared" si="22"/>
        <v>2704202.9168999996</v>
      </c>
      <c r="O131" s="103">
        <v>3.76</v>
      </c>
      <c r="P131" s="102">
        <f t="shared" si="23"/>
        <v>1369780.0319999999</v>
      </c>
      <c r="Q131" s="104"/>
      <c r="R131" s="104"/>
      <c r="S131" s="42">
        <f t="shared" si="11"/>
        <v>8438803.3359999992</v>
      </c>
    </row>
    <row r="132" spans="1:19" ht="23.25" x14ac:dyDescent="0.25">
      <c r="A132" s="97">
        <v>129</v>
      </c>
      <c r="B132" s="105" t="s">
        <v>208</v>
      </c>
      <c r="C132" s="98">
        <f t="shared" si="25"/>
        <v>254501.98000000004</v>
      </c>
      <c r="D132" s="98">
        <v>328144.31</v>
      </c>
      <c r="E132" s="98">
        <v>555043.19999999995</v>
      </c>
      <c r="F132" s="98"/>
      <c r="G132" s="98">
        <v>1137689.49</v>
      </c>
      <c r="H132" s="98">
        <f t="shared" si="27"/>
        <v>1365227.388</v>
      </c>
      <c r="I132" s="99">
        <f t="shared" si="19"/>
        <v>9760959.4659000002</v>
      </c>
      <c r="J132" s="100">
        <f t="shared" si="20"/>
        <v>11713151.35908</v>
      </c>
      <c r="K132" s="101">
        <v>19.489999999999998</v>
      </c>
      <c r="L132" s="102">
        <f t="shared" si="21"/>
        <v>4960243.5902000004</v>
      </c>
      <c r="M132" s="103">
        <v>8.27</v>
      </c>
      <c r="N132" s="102">
        <f t="shared" si="22"/>
        <v>2713753.4436999997</v>
      </c>
      <c r="O132" s="103">
        <v>3.76</v>
      </c>
      <c r="P132" s="102">
        <f t="shared" si="23"/>
        <v>2086962.4319999998</v>
      </c>
      <c r="Q132" s="104"/>
      <c r="R132" s="104"/>
      <c r="S132" s="42">
        <f t="shared" ref="S132:S195" si="28">I132-R132</f>
        <v>9760959.4659000002</v>
      </c>
    </row>
    <row r="133" spans="1:19" ht="23.25" x14ac:dyDescent="0.25">
      <c r="A133" s="97">
        <v>130</v>
      </c>
      <c r="B133" s="105" t="s">
        <v>209</v>
      </c>
      <c r="C133" s="98">
        <f t="shared" si="25"/>
        <v>441459.78000000044</v>
      </c>
      <c r="D133" s="98">
        <v>330048.40999999997</v>
      </c>
      <c r="E133" s="98">
        <f>1668250.8+1002970</f>
        <v>2671220.7999999998</v>
      </c>
      <c r="F133" s="98"/>
      <c r="G133" s="98">
        <v>3442728.99</v>
      </c>
      <c r="H133" s="98">
        <f t="shared" si="27"/>
        <v>4131274.7880000002</v>
      </c>
      <c r="I133" s="99">
        <f t="shared" si="19"/>
        <v>21377341.67090001</v>
      </c>
      <c r="J133" s="100">
        <f t="shared" si="20"/>
        <v>25652810.005080011</v>
      </c>
      <c r="K133" s="101">
        <v>19.489999999999998</v>
      </c>
      <c r="L133" s="102">
        <f t="shared" si="21"/>
        <v>8604051.1122000087</v>
      </c>
      <c r="M133" s="103">
        <v>8.27</v>
      </c>
      <c r="N133" s="102">
        <f t="shared" si="22"/>
        <v>2729500.3506999998</v>
      </c>
      <c r="O133" s="103">
        <v>3.76</v>
      </c>
      <c r="P133" s="102">
        <f t="shared" si="23"/>
        <v>10043790.207999999</v>
      </c>
      <c r="Q133" s="104"/>
      <c r="R133" s="104"/>
      <c r="S133" s="42">
        <f t="shared" si="28"/>
        <v>21377341.67090001</v>
      </c>
    </row>
    <row r="134" spans="1:19" x14ac:dyDescent="0.25">
      <c r="A134" s="97">
        <v>131</v>
      </c>
      <c r="B134" s="105" t="s">
        <v>210</v>
      </c>
      <c r="C134" s="98">
        <f t="shared" si="25"/>
        <v>222341.7099999999</v>
      </c>
      <c r="D134" s="98">
        <v>326982.71000000002</v>
      </c>
      <c r="E134" s="98">
        <v>348778.8</v>
      </c>
      <c r="F134" s="98"/>
      <c r="G134" s="98">
        <v>898103.22</v>
      </c>
      <c r="H134" s="98">
        <f t="shared" si="27"/>
        <v>1077723.8639999998</v>
      </c>
      <c r="I134" s="99">
        <f t="shared" si="19"/>
        <v>8348995.227599998</v>
      </c>
      <c r="J134" s="100">
        <f t="shared" si="20"/>
        <v>10018794.273119997</v>
      </c>
      <c r="K134" s="101">
        <v>19.489999999999998</v>
      </c>
      <c r="L134" s="102">
        <f t="shared" si="21"/>
        <v>4333439.9278999977</v>
      </c>
      <c r="M134" s="103">
        <v>8.27</v>
      </c>
      <c r="N134" s="102">
        <f t="shared" si="22"/>
        <v>2704147.0117000001</v>
      </c>
      <c r="O134" s="103">
        <v>3.76</v>
      </c>
      <c r="P134" s="102">
        <f t="shared" si="23"/>
        <v>1311408.2879999999</v>
      </c>
      <c r="Q134" s="104"/>
      <c r="R134" s="104"/>
      <c r="S134" s="42">
        <f t="shared" si="28"/>
        <v>8348995.227599998</v>
      </c>
    </row>
    <row r="135" spans="1:19" ht="23.25" x14ac:dyDescent="0.25">
      <c r="A135" s="97">
        <v>132</v>
      </c>
      <c r="B135" s="105" t="s">
        <v>211</v>
      </c>
      <c r="C135" s="98">
        <f t="shared" si="25"/>
        <v>412262.83000000025</v>
      </c>
      <c r="D135" s="98">
        <v>484115.95</v>
      </c>
      <c r="E135" s="98">
        <v>1286233.6499999999</v>
      </c>
      <c r="F135" s="98"/>
      <c r="G135" s="98">
        <v>2182612.4300000002</v>
      </c>
      <c r="H135" s="98">
        <f t="shared" si="27"/>
        <v>2619134.9160000002</v>
      </c>
      <c r="I135" s="99">
        <f t="shared" si="19"/>
        <v>16874879.987200003</v>
      </c>
      <c r="J135" s="100">
        <f t="shared" si="20"/>
        <v>20249855.984640002</v>
      </c>
      <c r="K135" s="101">
        <v>19.489999999999998</v>
      </c>
      <c r="L135" s="102">
        <f t="shared" si="21"/>
        <v>8035002.5567000043</v>
      </c>
      <c r="M135" s="103">
        <v>8.27</v>
      </c>
      <c r="N135" s="102">
        <f t="shared" si="22"/>
        <v>4003638.9065</v>
      </c>
      <c r="O135" s="103">
        <v>3.76</v>
      </c>
      <c r="P135" s="102">
        <f t="shared" si="23"/>
        <v>4836238.5239999993</v>
      </c>
      <c r="Q135" s="104"/>
      <c r="R135" s="104"/>
      <c r="S135" s="42">
        <f t="shared" si="28"/>
        <v>16874879.987200003</v>
      </c>
    </row>
    <row r="136" spans="1:19" ht="23.25" x14ac:dyDescent="0.25">
      <c r="A136" s="97">
        <v>133</v>
      </c>
      <c r="B136" s="105" t="s">
        <v>212</v>
      </c>
      <c r="C136" s="98">
        <f t="shared" si="25"/>
        <v>427486.11</v>
      </c>
      <c r="D136" s="98">
        <v>484395.35</v>
      </c>
      <c r="E136" s="98">
        <v>1395084.6</v>
      </c>
      <c r="F136" s="98"/>
      <c r="G136" s="98">
        <v>2306966.06</v>
      </c>
      <c r="H136" s="98">
        <f t="shared" si="27"/>
        <v>2768359.2719999999</v>
      </c>
      <c r="I136" s="99">
        <f t="shared" si="19"/>
        <v>17583171.924399998</v>
      </c>
      <c r="J136" s="100">
        <f t="shared" si="20"/>
        <v>21099806.309279997</v>
      </c>
      <c r="K136" s="101">
        <v>19.489999999999998</v>
      </c>
      <c r="L136" s="102">
        <f t="shared" si="21"/>
        <v>8331704.2838999992</v>
      </c>
      <c r="M136" s="103">
        <v>8.27</v>
      </c>
      <c r="N136" s="102">
        <f t="shared" si="22"/>
        <v>4005949.5444999994</v>
      </c>
      <c r="O136" s="103">
        <v>3.76</v>
      </c>
      <c r="P136" s="102">
        <f t="shared" si="23"/>
        <v>5245518.0959999999</v>
      </c>
      <c r="Q136" s="104"/>
      <c r="R136" s="104"/>
      <c r="S136" s="42">
        <f t="shared" si="28"/>
        <v>17583171.924399998</v>
      </c>
    </row>
    <row r="137" spans="1:19" ht="23.25" x14ac:dyDescent="0.25">
      <c r="A137" s="97">
        <v>134</v>
      </c>
      <c r="B137" s="105" t="s">
        <v>213</v>
      </c>
      <c r="C137" s="98">
        <f t="shared" si="25"/>
        <v>454445.74000000017</v>
      </c>
      <c r="D137" s="98">
        <v>484899.95</v>
      </c>
      <c r="E137" s="98">
        <v>1644637.8</v>
      </c>
      <c r="F137" s="98"/>
      <c r="G137" s="98">
        <v>2583983.4900000002</v>
      </c>
      <c r="H137" s="98">
        <v>3100780.18</v>
      </c>
      <c r="I137" s="99">
        <f t="shared" si="19"/>
        <v>19051108.187100001</v>
      </c>
      <c r="J137" s="100">
        <f t="shared" si="20"/>
        <v>22861329.824519999</v>
      </c>
      <c r="K137" s="101">
        <v>19.489999999999998</v>
      </c>
      <c r="L137" s="102">
        <f t="shared" si="21"/>
        <v>8857147.4726000018</v>
      </c>
      <c r="M137" s="103">
        <v>8.27</v>
      </c>
      <c r="N137" s="102">
        <f t="shared" si="22"/>
        <v>4010122.5864999997</v>
      </c>
      <c r="O137" s="103">
        <v>3.76</v>
      </c>
      <c r="P137" s="102">
        <f t="shared" si="23"/>
        <v>6183838.1279999996</v>
      </c>
      <c r="Q137" s="104"/>
      <c r="R137" s="104"/>
      <c r="S137" s="42">
        <f t="shared" si="28"/>
        <v>19051108.187100001</v>
      </c>
    </row>
    <row r="138" spans="1:19" ht="23.25" x14ac:dyDescent="0.25">
      <c r="A138" s="97">
        <v>135</v>
      </c>
      <c r="B138" s="105" t="s">
        <v>214</v>
      </c>
      <c r="C138" s="98">
        <f t="shared" si="25"/>
        <v>556859.60000000021</v>
      </c>
      <c r="D138" s="98">
        <v>486783.35</v>
      </c>
      <c r="E138" s="98">
        <v>2671615.0099999998</v>
      </c>
      <c r="F138" s="98"/>
      <c r="G138" s="98">
        <v>3715257.96</v>
      </c>
      <c r="H138" s="98">
        <f>G138*1.2</f>
        <v>4458309.5520000001</v>
      </c>
      <c r="I138" s="99">
        <f t="shared" si="19"/>
        <v>24924164.346100003</v>
      </c>
      <c r="J138" s="100">
        <f t="shared" si="20"/>
        <v>29908997.215320002</v>
      </c>
      <c r="K138" s="101">
        <v>19.489999999999998</v>
      </c>
      <c r="L138" s="102">
        <f t="shared" si="21"/>
        <v>10853193.604000004</v>
      </c>
      <c r="M138" s="103">
        <v>8.27</v>
      </c>
      <c r="N138" s="102">
        <f t="shared" si="22"/>
        <v>4025698.3044999996</v>
      </c>
      <c r="O138" s="103">
        <v>3.76</v>
      </c>
      <c r="P138" s="102">
        <f t="shared" si="23"/>
        <v>10045272.437599998</v>
      </c>
      <c r="Q138" s="104"/>
      <c r="R138" s="104"/>
      <c r="S138" s="42">
        <f t="shared" si="28"/>
        <v>24924164.346100003</v>
      </c>
    </row>
    <row r="139" spans="1:19" ht="23.25" x14ac:dyDescent="0.25">
      <c r="A139" s="97">
        <v>136</v>
      </c>
      <c r="B139" s="105" t="s">
        <v>215</v>
      </c>
      <c r="C139" s="98">
        <f t="shared" si="25"/>
        <v>872656.12000000058</v>
      </c>
      <c r="D139" s="98">
        <v>643335.31000000006</v>
      </c>
      <c r="E139" s="98">
        <f>3336501.6+2005940</f>
        <v>5342441.5999999996</v>
      </c>
      <c r="F139" s="98"/>
      <c r="G139" s="98">
        <v>6858433.0300000003</v>
      </c>
      <c r="H139" s="98">
        <f>G139*1.2</f>
        <v>8230119.6359999999</v>
      </c>
      <c r="I139" s="99">
        <f t="shared" si="19"/>
        <v>42416031.208500013</v>
      </c>
      <c r="J139" s="100">
        <f t="shared" si="20"/>
        <v>50899237.450200014</v>
      </c>
      <c r="K139" s="101">
        <v>19.489999999999998</v>
      </c>
      <c r="L139" s="102">
        <f t="shared" si="21"/>
        <v>17008067.778800011</v>
      </c>
      <c r="M139" s="103">
        <v>8.27</v>
      </c>
      <c r="N139" s="102">
        <f t="shared" si="22"/>
        <v>5320383.0137</v>
      </c>
      <c r="O139" s="103">
        <v>3.76</v>
      </c>
      <c r="P139" s="102">
        <f t="shared" si="23"/>
        <v>20087580.415999997</v>
      </c>
      <c r="Q139" s="104"/>
      <c r="R139" s="104"/>
      <c r="S139" s="42">
        <f t="shared" si="28"/>
        <v>42416031.208500013</v>
      </c>
    </row>
    <row r="140" spans="1:19" ht="23.25" x14ac:dyDescent="0.25">
      <c r="A140" s="97">
        <v>137</v>
      </c>
      <c r="B140" s="105" t="s">
        <v>216</v>
      </c>
      <c r="C140" s="98">
        <f t="shared" si="25"/>
        <v>740354.82000000007</v>
      </c>
      <c r="D140" s="98">
        <v>488203.55</v>
      </c>
      <c r="E140" s="98">
        <f>1504455+3336501.6</f>
        <v>4840956.5999999996</v>
      </c>
      <c r="F140" s="98"/>
      <c r="G140" s="98">
        <v>6069514.9699999997</v>
      </c>
      <c r="H140" s="98">
        <v>7283417.9699999997</v>
      </c>
      <c r="I140" s="99">
        <f t="shared" ref="I140:I196" si="29">L140+N140+P140</f>
        <v>36668955.616299994</v>
      </c>
      <c r="J140" s="100">
        <f t="shared" ref="J140:J196" si="30">I140*1.2</f>
        <v>44002746.739559993</v>
      </c>
      <c r="K140" s="101">
        <v>19.489999999999998</v>
      </c>
      <c r="L140" s="102">
        <f t="shared" ref="L140:L196" si="31">C140*K140</f>
        <v>14429515.4418</v>
      </c>
      <c r="M140" s="103">
        <v>8.27</v>
      </c>
      <c r="N140" s="102">
        <f t="shared" ref="N140:N196" si="32">D140*M140</f>
        <v>4037443.3584999996</v>
      </c>
      <c r="O140" s="103">
        <v>3.76</v>
      </c>
      <c r="P140" s="102">
        <f t="shared" ref="P140:P196" si="33">E140*O140</f>
        <v>18201996.815999996</v>
      </c>
      <c r="Q140" s="104"/>
      <c r="R140" s="104"/>
      <c r="S140" s="42">
        <f t="shared" si="28"/>
        <v>36668955.616299994</v>
      </c>
    </row>
    <row r="141" spans="1:19" ht="23.25" x14ac:dyDescent="0.25">
      <c r="A141" s="97">
        <v>138</v>
      </c>
      <c r="B141" s="105" t="s">
        <v>217</v>
      </c>
      <c r="C141" s="98">
        <f t="shared" si="25"/>
        <v>282122.59000000003</v>
      </c>
      <c r="D141" s="98">
        <v>328144.31</v>
      </c>
      <c r="E141" s="98">
        <v>909513.6</v>
      </c>
      <c r="F141" s="98"/>
      <c r="G141" s="98">
        <v>1519780.5</v>
      </c>
      <c r="H141" s="98">
        <f>G141*1.2</f>
        <v>1823736.5999999999</v>
      </c>
      <c r="I141" s="99">
        <f t="shared" si="29"/>
        <v>11632093.8588</v>
      </c>
      <c r="J141" s="100">
        <f t="shared" si="30"/>
        <v>13958512.630559999</v>
      </c>
      <c r="K141" s="101">
        <v>19.489999999999998</v>
      </c>
      <c r="L141" s="102">
        <f t="shared" si="31"/>
        <v>5498569.2790999999</v>
      </c>
      <c r="M141" s="103">
        <v>8.27</v>
      </c>
      <c r="N141" s="102">
        <f t="shared" si="32"/>
        <v>2713753.4436999997</v>
      </c>
      <c r="O141" s="103">
        <v>3.76</v>
      </c>
      <c r="P141" s="102">
        <f t="shared" si="33"/>
        <v>3419771.1359999999</v>
      </c>
      <c r="Q141" s="104"/>
      <c r="R141" s="104"/>
      <c r="S141" s="42">
        <f t="shared" si="28"/>
        <v>11632093.8588</v>
      </c>
    </row>
    <row r="142" spans="1:19" ht="23.25" x14ac:dyDescent="0.25">
      <c r="A142" s="97">
        <v>139</v>
      </c>
      <c r="B142" s="105" t="s">
        <v>218</v>
      </c>
      <c r="C142" s="98">
        <f t="shared" si="25"/>
        <v>513354.86</v>
      </c>
      <c r="D142" s="98">
        <v>486783.35</v>
      </c>
      <c r="E142" s="98">
        <v>2113294.75</v>
      </c>
      <c r="F142" s="98"/>
      <c r="G142" s="98">
        <v>3113432.96</v>
      </c>
      <c r="H142" s="98">
        <f>G142*1.2</f>
        <v>3736119.5519999997</v>
      </c>
      <c r="I142" s="99">
        <f t="shared" si="29"/>
        <v>21976972.785899997</v>
      </c>
      <c r="J142" s="100">
        <f t="shared" si="30"/>
        <v>26372367.343079995</v>
      </c>
      <c r="K142" s="101">
        <v>19.489999999999998</v>
      </c>
      <c r="L142" s="102">
        <f t="shared" si="31"/>
        <v>10005286.221399998</v>
      </c>
      <c r="M142" s="103">
        <v>8.27</v>
      </c>
      <c r="N142" s="102">
        <f t="shared" si="32"/>
        <v>4025698.3044999996</v>
      </c>
      <c r="O142" s="103">
        <v>3.76</v>
      </c>
      <c r="P142" s="102">
        <f t="shared" si="33"/>
        <v>7945988.2599999998</v>
      </c>
      <c r="Q142" s="104"/>
      <c r="R142" s="104"/>
      <c r="S142" s="42">
        <f t="shared" si="28"/>
        <v>21976972.785899997</v>
      </c>
    </row>
    <row r="143" spans="1:19" x14ac:dyDescent="0.25">
      <c r="A143" s="97">
        <v>140</v>
      </c>
      <c r="B143" s="105" t="s">
        <v>219</v>
      </c>
      <c r="C143" s="98">
        <f t="shared" si="25"/>
        <v>104499.89000000004</v>
      </c>
      <c r="D143" s="98">
        <v>25491.35</v>
      </c>
      <c r="E143" s="98">
        <f>39839+457686.94+1579</f>
        <v>499104.94</v>
      </c>
      <c r="F143" s="98"/>
      <c r="G143" s="98">
        <v>629096.18000000005</v>
      </c>
      <c r="H143" s="98">
        <v>754915.41</v>
      </c>
      <c r="I143" s="99">
        <f t="shared" si="29"/>
        <v>4124150.8950000005</v>
      </c>
      <c r="J143" s="100">
        <f t="shared" si="30"/>
        <v>4948981.074</v>
      </c>
      <c r="K143" s="101">
        <v>19.489999999999998</v>
      </c>
      <c r="L143" s="102">
        <f t="shared" si="31"/>
        <v>2036702.8561000007</v>
      </c>
      <c r="M143" s="103">
        <v>8.27</v>
      </c>
      <c r="N143" s="102">
        <f t="shared" si="32"/>
        <v>210813.46449999997</v>
      </c>
      <c r="O143" s="103">
        <v>3.76</v>
      </c>
      <c r="P143" s="102">
        <f t="shared" si="33"/>
        <v>1876634.5743999998</v>
      </c>
      <c r="Q143" s="104"/>
      <c r="R143" s="104"/>
      <c r="S143" s="42">
        <f t="shared" si="28"/>
        <v>4124150.8950000005</v>
      </c>
    </row>
    <row r="144" spans="1:19" ht="23.25" x14ac:dyDescent="0.25">
      <c r="A144" s="97">
        <v>141</v>
      </c>
      <c r="B144" s="105" t="s">
        <v>220</v>
      </c>
      <c r="C144" s="98">
        <f t="shared" si="25"/>
        <v>127829.97999999995</v>
      </c>
      <c r="D144" s="98">
        <v>32197.09</v>
      </c>
      <c r="E144" s="98">
        <f>19161.28+431450.82+2306.65</f>
        <v>452918.75</v>
      </c>
      <c r="F144" s="98"/>
      <c r="G144" s="98">
        <v>612945.81999999995</v>
      </c>
      <c r="H144" s="98">
        <f t="shared" ref="H144:H150" si="34">G144*1.2</f>
        <v>735534.98399999994</v>
      </c>
      <c r="I144" s="99">
        <f t="shared" si="29"/>
        <v>4460650.7444999982</v>
      </c>
      <c r="J144" s="100">
        <f t="shared" si="30"/>
        <v>5352780.8933999976</v>
      </c>
      <c r="K144" s="101">
        <v>19.489999999999998</v>
      </c>
      <c r="L144" s="102">
        <f t="shared" si="31"/>
        <v>2491406.3101999988</v>
      </c>
      <c r="M144" s="103">
        <v>8.27</v>
      </c>
      <c r="N144" s="102">
        <f t="shared" si="32"/>
        <v>266269.93429999996</v>
      </c>
      <c r="O144" s="103">
        <v>3.76</v>
      </c>
      <c r="P144" s="102">
        <f t="shared" si="33"/>
        <v>1702974.5</v>
      </c>
      <c r="Q144" s="104"/>
      <c r="R144" s="104"/>
      <c r="S144" s="42">
        <f t="shared" si="28"/>
        <v>4460650.7444999982</v>
      </c>
    </row>
    <row r="145" spans="1:19" ht="23.25" x14ac:dyDescent="0.25">
      <c r="A145" s="97">
        <v>142</v>
      </c>
      <c r="B145" s="105" t="s">
        <v>221</v>
      </c>
      <c r="C145" s="98">
        <f t="shared" si="25"/>
        <v>147514.65999999997</v>
      </c>
      <c r="D145" s="98">
        <v>32443.8</v>
      </c>
      <c r="E145" s="98">
        <f>54515.34+663617.81+2306.65</f>
        <v>720439.8</v>
      </c>
      <c r="F145" s="98"/>
      <c r="G145" s="98">
        <v>900398.26</v>
      </c>
      <c r="H145" s="98">
        <f t="shared" si="34"/>
        <v>1080477.912</v>
      </c>
      <c r="I145" s="99">
        <f t="shared" si="29"/>
        <v>5852224.5973999985</v>
      </c>
      <c r="J145" s="100">
        <f t="shared" si="30"/>
        <v>7022669.5168799981</v>
      </c>
      <c r="K145" s="101">
        <v>19.489999999999998</v>
      </c>
      <c r="L145" s="102">
        <f t="shared" si="31"/>
        <v>2875060.7233999991</v>
      </c>
      <c r="M145" s="103">
        <v>8.27</v>
      </c>
      <c r="N145" s="102">
        <f t="shared" si="32"/>
        <v>268310.22599999997</v>
      </c>
      <c r="O145" s="103">
        <v>3.76</v>
      </c>
      <c r="P145" s="102">
        <f t="shared" si="33"/>
        <v>2708853.648</v>
      </c>
      <c r="Q145" s="104"/>
      <c r="R145" s="104"/>
      <c r="S145" s="42">
        <f t="shared" si="28"/>
        <v>5852224.5973999985</v>
      </c>
    </row>
    <row r="146" spans="1:19" x14ac:dyDescent="0.25">
      <c r="A146" s="97">
        <v>143</v>
      </c>
      <c r="B146" s="105" t="s">
        <v>222</v>
      </c>
      <c r="C146" s="98">
        <f t="shared" si="25"/>
        <v>107632.59</v>
      </c>
      <c r="D146" s="98">
        <v>25677.21</v>
      </c>
      <c r="E146" s="98">
        <f>10485+330179.64+1579.27</f>
        <v>342243.91000000003</v>
      </c>
      <c r="F146" s="98"/>
      <c r="G146" s="98">
        <v>475553.71</v>
      </c>
      <c r="H146" s="98">
        <f t="shared" si="34"/>
        <v>570664.45200000005</v>
      </c>
      <c r="I146" s="99">
        <f t="shared" si="29"/>
        <v>3596946.8073999994</v>
      </c>
      <c r="J146" s="100">
        <f t="shared" si="30"/>
        <v>4316336.1688799988</v>
      </c>
      <c r="K146" s="101">
        <v>19.489999999999998</v>
      </c>
      <c r="L146" s="102">
        <f t="shared" si="31"/>
        <v>2097759.1790999998</v>
      </c>
      <c r="M146" s="103">
        <v>8.27</v>
      </c>
      <c r="N146" s="102">
        <f t="shared" si="32"/>
        <v>212350.52669999999</v>
      </c>
      <c r="O146" s="103">
        <v>3.76</v>
      </c>
      <c r="P146" s="102">
        <f t="shared" si="33"/>
        <v>1286837.1015999999</v>
      </c>
      <c r="Q146" s="104"/>
      <c r="R146" s="104"/>
      <c r="S146" s="42">
        <f t="shared" si="28"/>
        <v>3596946.8073999994</v>
      </c>
    </row>
    <row r="147" spans="1:19" x14ac:dyDescent="0.25">
      <c r="A147" s="97">
        <v>144</v>
      </c>
      <c r="B147" s="105" t="s">
        <v>223</v>
      </c>
      <c r="C147" s="98">
        <f t="shared" si="25"/>
        <v>112807.85999999996</v>
      </c>
      <c r="D147" s="98">
        <v>35663.480000000003</v>
      </c>
      <c r="E147" s="98">
        <f>10485+137590.48+2306.65</f>
        <v>150382.13</v>
      </c>
      <c r="F147" s="98"/>
      <c r="G147" s="98">
        <v>298853.46999999997</v>
      </c>
      <c r="H147" s="98">
        <f t="shared" si="34"/>
        <v>358624.16399999993</v>
      </c>
      <c r="I147" s="99">
        <f t="shared" si="29"/>
        <v>3058998.9797999989</v>
      </c>
      <c r="J147" s="100">
        <f t="shared" si="30"/>
        <v>3670798.7757599987</v>
      </c>
      <c r="K147" s="101">
        <v>19.489999999999998</v>
      </c>
      <c r="L147" s="102">
        <f t="shared" si="31"/>
        <v>2198625.191399999</v>
      </c>
      <c r="M147" s="103">
        <v>8.27</v>
      </c>
      <c r="N147" s="102">
        <f t="shared" si="32"/>
        <v>294936.97960000002</v>
      </c>
      <c r="O147" s="103">
        <v>3.76</v>
      </c>
      <c r="P147" s="102">
        <f t="shared" si="33"/>
        <v>565436.8088</v>
      </c>
      <c r="Q147" s="104"/>
      <c r="R147" s="104"/>
      <c r="S147" s="42">
        <f t="shared" si="28"/>
        <v>3058998.9797999989</v>
      </c>
    </row>
    <row r="148" spans="1:19" x14ac:dyDescent="0.25">
      <c r="A148" s="97">
        <v>145</v>
      </c>
      <c r="B148" s="105" t="s">
        <v>224</v>
      </c>
      <c r="C148" s="98">
        <f t="shared" si="25"/>
        <v>114111.79000000001</v>
      </c>
      <c r="D148" s="98">
        <v>34895.68</v>
      </c>
      <c r="E148" s="98">
        <f>10485+169552.38+2306.65</f>
        <v>182344.03</v>
      </c>
      <c r="F148" s="98"/>
      <c r="G148" s="98">
        <v>331351.5</v>
      </c>
      <c r="H148" s="98">
        <f t="shared" si="34"/>
        <v>397621.8</v>
      </c>
      <c r="I148" s="99">
        <f t="shared" si="29"/>
        <v>3198239.6135</v>
      </c>
      <c r="J148" s="100">
        <f t="shared" si="30"/>
        <v>3837887.5362</v>
      </c>
      <c r="K148" s="101">
        <v>19.489999999999998</v>
      </c>
      <c r="L148" s="102">
        <f t="shared" si="31"/>
        <v>2224038.7870999998</v>
      </c>
      <c r="M148" s="103">
        <v>8.27</v>
      </c>
      <c r="N148" s="102">
        <f t="shared" si="32"/>
        <v>288587.27360000001</v>
      </c>
      <c r="O148" s="103">
        <v>3.76</v>
      </c>
      <c r="P148" s="102">
        <f t="shared" si="33"/>
        <v>685613.55279999995</v>
      </c>
      <c r="Q148" s="104"/>
      <c r="R148" s="104"/>
      <c r="S148" s="42">
        <f t="shared" si="28"/>
        <v>3198239.6135</v>
      </c>
    </row>
    <row r="149" spans="1:19" x14ac:dyDescent="0.25">
      <c r="A149" s="97">
        <v>146</v>
      </c>
      <c r="B149" s="105" t="s">
        <v>225</v>
      </c>
      <c r="C149" s="98">
        <f t="shared" si="25"/>
        <v>118433.98999999999</v>
      </c>
      <c r="D149" s="98">
        <v>35295.18</v>
      </c>
      <c r="E149" s="98">
        <f>10485+220354.1+2306.65</f>
        <v>233145.75</v>
      </c>
      <c r="F149" s="98"/>
      <c r="G149" s="98">
        <v>386874.92</v>
      </c>
      <c r="H149" s="98">
        <f t="shared" si="34"/>
        <v>464249.90399999998</v>
      </c>
      <c r="I149" s="99">
        <f t="shared" si="29"/>
        <v>3476797.6236999999</v>
      </c>
      <c r="J149" s="100">
        <f t="shared" si="30"/>
        <v>4172157.1484399997</v>
      </c>
      <c r="K149" s="101">
        <v>19.489999999999998</v>
      </c>
      <c r="L149" s="102">
        <f t="shared" si="31"/>
        <v>2308278.4650999997</v>
      </c>
      <c r="M149" s="103">
        <v>8.27</v>
      </c>
      <c r="N149" s="102">
        <f t="shared" si="32"/>
        <v>291891.13860000001</v>
      </c>
      <c r="O149" s="103">
        <v>3.76</v>
      </c>
      <c r="P149" s="102">
        <f t="shared" si="33"/>
        <v>876628.0199999999</v>
      </c>
      <c r="Q149" s="104"/>
      <c r="R149" s="104"/>
      <c r="S149" s="42">
        <f t="shared" si="28"/>
        <v>3476797.6236999999</v>
      </c>
    </row>
    <row r="150" spans="1:19" x14ac:dyDescent="0.25">
      <c r="A150" s="97">
        <v>147</v>
      </c>
      <c r="B150" s="105" t="s">
        <v>226</v>
      </c>
      <c r="C150" s="98">
        <f t="shared" si="25"/>
        <v>121243.51000000001</v>
      </c>
      <c r="D150" s="98">
        <v>35668.49</v>
      </c>
      <c r="E150" s="98">
        <f>10485+243203.73+2306.65</f>
        <v>255995.38</v>
      </c>
      <c r="F150" s="98"/>
      <c r="G150" s="98">
        <v>412907.38</v>
      </c>
      <c r="H150" s="98">
        <f t="shared" si="34"/>
        <v>495488.85599999997</v>
      </c>
      <c r="I150" s="99">
        <f t="shared" si="29"/>
        <v>3620557.051</v>
      </c>
      <c r="J150" s="100">
        <f t="shared" si="30"/>
        <v>4344668.4611999998</v>
      </c>
      <c r="K150" s="101">
        <v>19.489999999999998</v>
      </c>
      <c r="L150" s="102">
        <f t="shared" si="31"/>
        <v>2363036.0098999999</v>
      </c>
      <c r="M150" s="103">
        <v>8.27</v>
      </c>
      <c r="N150" s="102">
        <f t="shared" si="32"/>
        <v>294978.41229999997</v>
      </c>
      <c r="O150" s="103">
        <v>3.76</v>
      </c>
      <c r="P150" s="102">
        <f t="shared" si="33"/>
        <v>962542.62879999995</v>
      </c>
      <c r="Q150" s="104"/>
      <c r="R150" s="104"/>
      <c r="S150" s="42">
        <f t="shared" si="28"/>
        <v>3620557.051</v>
      </c>
    </row>
    <row r="151" spans="1:19" x14ac:dyDescent="0.25">
      <c r="A151" s="97">
        <v>148</v>
      </c>
      <c r="B151" s="105" t="s">
        <v>227</v>
      </c>
      <c r="C151" s="98">
        <f t="shared" si="25"/>
        <v>121994.69999999998</v>
      </c>
      <c r="D151" s="98">
        <v>35286.28</v>
      </c>
      <c r="E151" s="98">
        <f>39838.56+295367.83+2306.65</f>
        <v>337513.04000000004</v>
      </c>
      <c r="F151" s="98"/>
      <c r="G151" s="98">
        <v>494794.02</v>
      </c>
      <c r="H151" s="98">
        <v>593752.82999999996</v>
      </c>
      <c r="I151" s="99">
        <f t="shared" si="29"/>
        <v>3938543.2689999994</v>
      </c>
      <c r="J151" s="100">
        <f t="shared" si="30"/>
        <v>4726251.9227999989</v>
      </c>
      <c r="K151" s="101">
        <v>19.489999999999998</v>
      </c>
      <c r="L151" s="102">
        <f t="shared" si="31"/>
        <v>2377676.7029999993</v>
      </c>
      <c r="M151" s="103">
        <v>8.27</v>
      </c>
      <c r="N151" s="102">
        <f t="shared" si="32"/>
        <v>291817.5356</v>
      </c>
      <c r="O151" s="103">
        <v>3.76</v>
      </c>
      <c r="P151" s="102">
        <f t="shared" si="33"/>
        <v>1269049.0304</v>
      </c>
      <c r="Q151" s="104"/>
      <c r="R151" s="104"/>
      <c r="S151" s="42">
        <f t="shared" si="28"/>
        <v>3938543.2689999994</v>
      </c>
    </row>
    <row r="152" spans="1:19" x14ac:dyDescent="0.25">
      <c r="A152" s="97">
        <v>149</v>
      </c>
      <c r="B152" s="105" t="s">
        <v>228</v>
      </c>
      <c r="C152" s="98">
        <f t="shared" si="25"/>
        <v>128720.63999999993</v>
      </c>
      <c r="D152" s="98">
        <v>35653.65</v>
      </c>
      <c r="E152" s="98">
        <f>39838.56+377823.82+2306.65</f>
        <v>419969.03</v>
      </c>
      <c r="F152" s="98"/>
      <c r="G152" s="98">
        <v>584343.31999999995</v>
      </c>
      <c r="H152" s="98">
        <v>701211.99</v>
      </c>
      <c r="I152" s="99">
        <f t="shared" si="29"/>
        <v>4382704.5118999984</v>
      </c>
      <c r="J152" s="100">
        <f t="shared" si="30"/>
        <v>5259245.4142799983</v>
      </c>
      <c r="K152" s="101">
        <v>19.489999999999998</v>
      </c>
      <c r="L152" s="102">
        <f t="shared" si="31"/>
        <v>2508765.2735999986</v>
      </c>
      <c r="M152" s="103">
        <v>8.27</v>
      </c>
      <c r="N152" s="102">
        <f t="shared" si="32"/>
        <v>294855.68550000002</v>
      </c>
      <c r="O152" s="103">
        <v>3.76</v>
      </c>
      <c r="P152" s="102">
        <f t="shared" si="33"/>
        <v>1579083.5527999999</v>
      </c>
      <c r="Q152" s="104"/>
      <c r="R152" s="104"/>
      <c r="S152" s="42">
        <f t="shared" si="28"/>
        <v>4382704.5118999984</v>
      </c>
    </row>
    <row r="153" spans="1:19" x14ac:dyDescent="0.25">
      <c r="A153" s="97">
        <v>150</v>
      </c>
      <c r="B153" s="105" t="s">
        <v>229</v>
      </c>
      <c r="C153" s="98">
        <f t="shared" si="25"/>
        <v>136316.06000000006</v>
      </c>
      <c r="D153" s="98">
        <v>35903.19</v>
      </c>
      <c r="E153" s="98">
        <f>39838.56+464851.85+2306.65</f>
        <v>506997.06</v>
      </c>
      <c r="F153" s="98"/>
      <c r="G153" s="98">
        <v>679216.31</v>
      </c>
      <c r="H153" s="98">
        <f>G153*1.2</f>
        <v>815059.57200000004</v>
      </c>
      <c r="I153" s="99">
        <f t="shared" si="29"/>
        <v>4860028.3363000005</v>
      </c>
      <c r="J153" s="100">
        <f t="shared" si="30"/>
        <v>5832034.0035600001</v>
      </c>
      <c r="K153" s="101">
        <v>19.489999999999998</v>
      </c>
      <c r="L153" s="102">
        <f t="shared" si="31"/>
        <v>2656800.0094000008</v>
      </c>
      <c r="M153" s="103">
        <v>8.27</v>
      </c>
      <c r="N153" s="102">
        <f t="shared" si="32"/>
        <v>296919.38130000001</v>
      </c>
      <c r="O153" s="103">
        <v>3.76</v>
      </c>
      <c r="P153" s="102">
        <f t="shared" si="33"/>
        <v>1906308.9456</v>
      </c>
      <c r="Q153" s="104"/>
      <c r="R153" s="104"/>
      <c r="S153" s="42">
        <f t="shared" si="28"/>
        <v>4860028.3363000005</v>
      </c>
    </row>
    <row r="154" spans="1:19" ht="23.25" x14ac:dyDescent="0.25">
      <c r="A154" s="97">
        <v>151</v>
      </c>
      <c r="B154" s="105" t="s">
        <v>230</v>
      </c>
      <c r="C154" s="98">
        <f t="shared" si="25"/>
        <v>169801.56999999998</v>
      </c>
      <c r="D154" s="98">
        <v>48280.72</v>
      </c>
      <c r="E154" s="98">
        <f>10485+337011.82+2306.65</f>
        <v>349803.47000000003</v>
      </c>
      <c r="F154" s="98"/>
      <c r="G154" s="98">
        <v>567885.76</v>
      </c>
      <c r="H154" s="98">
        <v>681462.9</v>
      </c>
      <c r="I154" s="99">
        <f t="shared" si="29"/>
        <v>5023975.2008999996</v>
      </c>
      <c r="J154" s="100">
        <f t="shared" si="30"/>
        <v>6028770.2410799991</v>
      </c>
      <c r="K154" s="101">
        <v>19.489999999999998</v>
      </c>
      <c r="L154" s="102">
        <f t="shared" si="31"/>
        <v>3309432.5992999994</v>
      </c>
      <c r="M154" s="103">
        <v>8.27</v>
      </c>
      <c r="N154" s="102">
        <f t="shared" si="32"/>
        <v>399281.55439999996</v>
      </c>
      <c r="O154" s="103">
        <v>3.76</v>
      </c>
      <c r="P154" s="102">
        <f t="shared" si="33"/>
        <v>1315261.0472000001</v>
      </c>
      <c r="Q154" s="104"/>
      <c r="R154" s="104"/>
      <c r="S154" s="42">
        <f t="shared" si="28"/>
        <v>5023975.2008999996</v>
      </c>
    </row>
    <row r="155" spans="1:19" ht="23.25" x14ac:dyDescent="0.25">
      <c r="A155" s="97">
        <v>152</v>
      </c>
      <c r="B155" s="105" t="s">
        <v>231</v>
      </c>
      <c r="C155" s="98">
        <f t="shared" si="25"/>
        <v>178445.95999999996</v>
      </c>
      <c r="D155" s="98">
        <v>49079.74</v>
      </c>
      <c r="E155" s="98">
        <f>10485+438615.24+2306.65</f>
        <v>451406.89</v>
      </c>
      <c r="F155" s="98"/>
      <c r="G155" s="98">
        <v>678932.59</v>
      </c>
      <c r="H155" s="98">
        <v>814719.1</v>
      </c>
      <c r="I155" s="99">
        <f t="shared" si="29"/>
        <v>5581091.1165999994</v>
      </c>
      <c r="J155" s="100">
        <f t="shared" si="30"/>
        <v>6697309.3399199992</v>
      </c>
      <c r="K155" s="101">
        <v>19.489999999999998</v>
      </c>
      <c r="L155" s="102">
        <f t="shared" si="31"/>
        <v>3477911.7603999991</v>
      </c>
      <c r="M155" s="103">
        <v>8.27</v>
      </c>
      <c r="N155" s="102">
        <f t="shared" si="32"/>
        <v>405889.44979999994</v>
      </c>
      <c r="O155" s="103">
        <v>3.76</v>
      </c>
      <c r="P155" s="102">
        <f t="shared" si="33"/>
        <v>1697289.9064</v>
      </c>
      <c r="Q155" s="104"/>
      <c r="R155" s="104"/>
      <c r="S155" s="42">
        <f t="shared" si="28"/>
        <v>5581091.1165999994</v>
      </c>
    </row>
    <row r="156" spans="1:19" ht="23.25" x14ac:dyDescent="0.25">
      <c r="A156" s="97">
        <v>153</v>
      </c>
      <c r="B156" s="105" t="s">
        <v>232</v>
      </c>
      <c r="C156" s="98">
        <f t="shared" si="25"/>
        <v>184061.68999999997</v>
      </c>
      <c r="D156" s="98">
        <v>49826.34</v>
      </c>
      <c r="E156" s="98">
        <f>10485+484272.07+2306.65</f>
        <v>497063.72000000003</v>
      </c>
      <c r="F156" s="98"/>
      <c r="G156" s="98">
        <v>730951.75</v>
      </c>
      <c r="H156" s="98">
        <v>877142.09</v>
      </c>
      <c r="I156" s="99">
        <f t="shared" si="29"/>
        <v>5868385.7570999991</v>
      </c>
      <c r="J156" s="100">
        <f t="shared" si="30"/>
        <v>7042062.9085199991</v>
      </c>
      <c r="K156" s="101">
        <v>19.489999999999998</v>
      </c>
      <c r="L156" s="102">
        <f t="shared" si="31"/>
        <v>3587362.3380999994</v>
      </c>
      <c r="M156" s="103">
        <v>8.27</v>
      </c>
      <c r="N156" s="102">
        <f t="shared" si="32"/>
        <v>412063.83179999993</v>
      </c>
      <c r="O156" s="103">
        <v>3.76</v>
      </c>
      <c r="P156" s="102">
        <f t="shared" si="33"/>
        <v>1868959.5872</v>
      </c>
      <c r="Q156" s="104"/>
      <c r="R156" s="104"/>
      <c r="S156" s="42">
        <f t="shared" si="28"/>
        <v>5868385.7570999991</v>
      </c>
    </row>
    <row r="157" spans="1:19" ht="23.25" x14ac:dyDescent="0.25">
      <c r="A157" s="97">
        <v>154</v>
      </c>
      <c r="B157" s="105" t="s">
        <v>233</v>
      </c>
      <c r="C157" s="98">
        <f t="shared" si="25"/>
        <v>186870.9500000001</v>
      </c>
      <c r="D157" s="98">
        <v>49782.29</v>
      </c>
      <c r="E157" s="98">
        <f>54515.34+589567.08+2306.65</f>
        <v>646389.06999999995</v>
      </c>
      <c r="F157" s="98"/>
      <c r="G157" s="98">
        <v>883042.31</v>
      </c>
      <c r="H157" s="98">
        <f>G157*1.2</f>
        <v>1059650.7720000001</v>
      </c>
      <c r="I157" s="99">
        <f t="shared" si="29"/>
        <v>6484237.2570000011</v>
      </c>
      <c r="J157" s="100">
        <f t="shared" si="30"/>
        <v>7781084.7084000008</v>
      </c>
      <c r="K157" s="101">
        <v>19.489999999999998</v>
      </c>
      <c r="L157" s="102">
        <f t="shared" si="31"/>
        <v>3642114.8155000014</v>
      </c>
      <c r="M157" s="103">
        <v>8.27</v>
      </c>
      <c r="N157" s="102">
        <f t="shared" si="32"/>
        <v>411699.53830000001</v>
      </c>
      <c r="O157" s="103">
        <v>3.76</v>
      </c>
      <c r="P157" s="102">
        <f t="shared" si="33"/>
        <v>2430422.9031999996</v>
      </c>
      <c r="Q157" s="104"/>
      <c r="R157" s="104"/>
      <c r="S157" s="42">
        <f t="shared" si="28"/>
        <v>6484237.2570000011</v>
      </c>
    </row>
    <row r="158" spans="1:19" ht="23.25" x14ac:dyDescent="0.25">
      <c r="A158" s="97">
        <v>155</v>
      </c>
      <c r="B158" s="105" t="s">
        <v>234</v>
      </c>
      <c r="C158" s="98">
        <f t="shared" si="25"/>
        <v>200983.43999999992</v>
      </c>
      <c r="D158" s="98">
        <v>49951.73</v>
      </c>
      <c r="E158" s="98">
        <f>54515.34+754479.05+2306.65</f>
        <v>811301.04</v>
      </c>
      <c r="F158" s="98"/>
      <c r="G158" s="98">
        <v>1062236.21</v>
      </c>
      <c r="H158" s="98">
        <f>G158*1.2</f>
        <v>1274683.4519999998</v>
      </c>
      <c r="I158" s="99">
        <f t="shared" si="29"/>
        <v>7380759.9630999975</v>
      </c>
      <c r="J158" s="100">
        <f t="shared" si="30"/>
        <v>8856911.9557199962</v>
      </c>
      <c r="K158" s="101">
        <v>19.489999999999998</v>
      </c>
      <c r="L158" s="102">
        <f t="shared" si="31"/>
        <v>3917167.2455999982</v>
      </c>
      <c r="M158" s="103">
        <v>8.27</v>
      </c>
      <c r="N158" s="102">
        <f t="shared" si="32"/>
        <v>413100.80709999998</v>
      </c>
      <c r="O158" s="103">
        <v>3.76</v>
      </c>
      <c r="P158" s="102">
        <f t="shared" si="33"/>
        <v>3050491.9103999999</v>
      </c>
      <c r="Q158" s="104"/>
      <c r="R158" s="104"/>
      <c r="S158" s="42">
        <f t="shared" si="28"/>
        <v>7380759.9630999975</v>
      </c>
    </row>
    <row r="159" spans="1:19" ht="23.25" x14ac:dyDescent="0.25">
      <c r="A159" s="97">
        <v>156</v>
      </c>
      <c r="B159" s="105" t="s">
        <v>235</v>
      </c>
      <c r="C159" s="98">
        <f t="shared" si="25"/>
        <v>216297.26000000007</v>
      </c>
      <c r="D159" s="98">
        <v>51181.919999999998</v>
      </c>
      <c r="E159" s="98">
        <f>54515.34+928535.11+2306.65</f>
        <v>985357.1</v>
      </c>
      <c r="F159" s="98"/>
      <c r="G159" s="98">
        <v>1252836.28</v>
      </c>
      <c r="H159" s="98">
        <f>G159*1.2</f>
        <v>1503403.5360000001</v>
      </c>
      <c r="I159" s="99">
        <f t="shared" si="29"/>
        <v>8343850.7718000012</v>
      </c>
      <c r="J159" s="100">
        <f t="shared" si="30"/>
        <v>10012620.92616</v>
      </c>
      <c r="K159" s="101">
        <v>19.489999999999998</v>
      </c>
      <c r="L159" s="102">
        <f t="shared" si="31"/>
        <v>4215633.5974000013</v>
      </c>
      <c r="M159" s="103">
        <v>8.27</v>
      </c>
      <c r="N159" s="102">
        <f t="shared" si="32"/>
        <v>423274.47839999996</v>
      </c>
      <c r="O159" s="103">
        <v>3.76</v>
      </c>
      <c r="P159" s="102">
        <f t="shared" si="33"/>
        <v>3704942.6959999995</v>
      </c>
      <c r="Q159" s="104"/>
      <c r="R159" s="104"/>
      <c r="S159" s="42">
        <f t="shared" si="28"/>
        <v>8343850.7718000012</v>
      </c>
    </row>
    <row r="160" spans="1:19" ht="15.75" customHeight="1" x14ac:dyDescent="0.25">
      <c r="A160" s="97">
        <v>157</v>
      </c>
      <c r="B160" s="105" t="s">
        <v>236</v>
      </c>
      <c r="C160" s="98">
        <f t="shared" si="25"/>
        <v>12490.490000000002</v>
      </c>
      <c r="D160" s="98">
        <v>2721.59</v>
      </c>
      <c r="E160" s="98">
        <f>1321+25360.82+357</f>
        <v>27038.82</v>
      </c>
      <c r="F160" s="98"/>
      <c r="G160" s="98">
        <v>42250.9</v>
      </c>
      <c r="H160" s="98">
        <v>50701.07</v>
      </c>
      <c r="I160" s="99">
        <f t="shared" si="29"/>
        <v>367613.16259999998</v>
      </c>
      <c r="J160" s="100">
        <f t="shared" si="30"/>
        <v>441135.79511999997</v>
      </c>
      <c r="K160" s="101">
        <v>19.489999999999998</v>
      </c>
      <c r="L160" s="102">
        <f t="shared" si="31"/>
        <v>243439.6501</v>
      </c>
      <c r="M160" s="103">
        <v>8.27</v>
      </c>
      <c r="N160" s="102">
        <f t="shared" si="32"/>
        <v>22507.549299999999</v>
      </c>
      <c r="O160" s="103">
        <v>3.76</v>
      </c>
      <c r="P160" s="102">
        <f t="shared" si="33"/>
        <v>101665.9632</v>
      </c>
      <c r="Q160" s="104"/>
      <c r="R160" s="104"/>
      <c r="S160" s="42">
        <f t="shared" si="28"/>
        <v>367613.16259999998</v>
      </c>
    </row>
    <row r="161" spans="1:19" ht="15" customHeight="1" x14ac:dyDescent="0.25">
      <c r="A161" s="97">
        <v>158</v>
      </c>
      <c r="B161" s="105" t="s">
        <v>237</v>
      </c>
      <c r="C161" s="98">
        <f t="shared" si="25"/>
        <v>12659.119999999999</v>
      </c>
      <c r="D161" s="98">
        <v>2838.2</v>
      </c>
      <c r="E161" s="98">
        <f>4256+22871.97+357</f>
        <v>27484.97</v>
      </c>
      <c r="F161" s="98"/>
      <c r="G161" s="98">
        <v>42982.29</v>
      </c>
      <c r="H161" s="98">
        <f>G161*1.2</f>
        <v>51578.748</v>
      </c>
      <c r="I161" s="99">
        <f t="shared" si="29"/>
        <v>373541.65</v>
      </c>
      <c r="J161" s="100">
        <f t="shared" si="30"/>
        <v>448249.98000000004</v>
      </c>
      <c r="K161" s="101">
        <v>19.489999999999998</v>
      </c>
      <c r="L161" s="102">
        <f t="shared" si="31"/>
        <v>246726.24879999997</v>
      </c>
      <c r="M161" s="103">
        <v>8.27</v>
      </c>
      <c r="N161" s="102">
        <f t="shared" si="32"/>
        <v>23471.913999999997</v>
      </c>
      <c r="O161" s="103">
        <v>3.76</v>
      </c>
      <c r="P161" s="102">
        <f t="shared" si="33"/>
        <v>103343.4872</v>
      </c>
      <c r="Q161" s="104"/>
      <c r="R161" s="104"/>
      <c r="S161" s="42">
        <f t="shared" si="28"/>
        <v>373541.65</v>
      </c>
    </row>
    <row r="162" spans="1:19" x14ac:dyDescent="0.25">
      <c r="A162" s="97">
        <v>159</v>
      </c>
      <c r="B162" s="105" t="s">
        <v>238</v>
      </c>
      <c r="C162" s="98">
        <f t="shared" si="25"/>
        <v>15051.199999999997</v>
      </c>
      <c r="D162" s="98">
        <v>3443.39</v>
      </c>
      <c r="E162" s="98">
        <f>1321.11+29389.1+357.47</f>
        <v>31067.68</v>
      </c>
      <c r="F162" s="98"/>
      <c r="G162" s="98">
        <v>49562.27</v>
      </c>
      <c r="H162" s="98">
        <f>G162*1.2</f>
        <v>59474.723999999995</v>
      </c>
      <c r="I162" s="99">
        <f t="shared" si="29"/>
        <v>438639.2000999999</v>
      </c>
      <c r="J162" s="100">
        <f t="shared" si="30"/>
        <v>526367.0401199999</v>
      </c>
      <c r="K162" s="101">
        <v>19.489999999999998</v>
      </c>
      <c r="L162" s="102">
        <f t="shared" si="31"/>
        <v>293347.88799999992</v>
      </c>
      <c r="M162" s="103">
        <v>8.27</v>
      </c>
      <c r="N162" s="102">
        <f t="shared" si="32"/>
        <v>28476.835299999999</v>
      </c>
      <c r="O162" s="103">
        <v>3.76</v>
      </c>
      <c r="P162" s="102">
        <f t="shared" si="33"/>
        <v>116814.47679999999</v>
      </c>
      <c r="Q162" s="104"/>
      <c r="R162" s="104"/>
      <c r="S162" s="42">
        <f t="shared" si="28"/>
        <v>438639.2000999999</v>
      </c>
    </row>
    <row r="163" spans="1:19" ht="14.25" customHeight="1" x14ac:dyDescent="0.25">
      <c r="A163" s="97">
        <v>160</v>
      </c>
      <c r="B163" s="105" t="s">
        <v>239</v>
      </c>
      <c r="C163" s="98">
        <f t="shared" si="25"/>
        <v>15871.579999999994</v>
      </c>
      <c r="D163" s="98">
        <v>3443.39</v>
      </c>
      <c r="E163" s="98">
        <f>4256.47+52029.43+357.47</f>
        <v>56643.37</v>
      </c>
      <c r="F163" s="98"/>
      <c r="G163" s="98">
        <v>75958.34</v>
      </c>
      <c r="H163" s="98">
        <f>G163*1.2</f>
        <v>91150.007999999987</v>
      </c>
      <c r="I163" s="99">
        <f t="shared" si="29"/>
        <v>550793.00069999986</v>
      </c>
      <c r="J163" s="100">
        <f t="shared" si="30"/>
        <v>660951.60083999985</v>
      </c>
      <c r="K163" s="101">
        <v>19.489999999999998</v>
      </c>
      <c r="L163" s="102">
        <f t="shared" si="31"/>
        <v>309337.09419999988</v>
      </c>
      <c r="M163" s="103">
        <v>8.27</v>
      </c>
      <c r="N163" s="102">
        <f t="shared" si="32"/>
        <v>28476.835299999999</v>
      </c>
      <c r="O163" s="103">
        <v>3.76</v>
      </c>
      <c r="P163" s="102">
        <f t="shared" si="33"/>
        <v>212979.07120000001</v>
      </c>
      <c r="Q163" s="104"/>
      <c r="R163" s="104"/>
      <c r="S163" s="42">
        <f t="shared" si="28"/>
        <v>550793.00069999986</v>
      </c>
    </row>
    <row r="164" spans="1:19" ht="14.25" customHeight="1" x14ac:dyDescent="0.25">
      <c r="A164" s="97">
        <v>161</v>
      </c>
      <c r="B164" s="105" t="s">
        <v>240</v>
      </c>
      <c r="C164" s="98">
        <f t="shared" ref="C164:C193" si="35">G164-E164-D164</f>
        <v>14680.869999999997</v>
      </c>
      <c r="D164" s="98">
        <v>3264.15</v>
      </c>
      <c r="E164" s="98">
        <f>1321.11+33124.75+357.47</f>
        <v>34803.33</v>
      </c>
      <c r="F164" s="98"/>
      <c r="G164" s="98">
        <v>52748.35</v>
      </c>
      <c r="H164" s="98">
        <f>G164*1.2</f>
        <v>63298.02</v>
      </c>
      <c r="I164" s="99">
        <f t="shared" si="29"/>
        <v>443985.1975999999</v>
      </c>
      <c r="J164" s="100">
        <f t="shared" si="30"/>
        <v>532782.23711999983</v>
      </c>
      <c r="K164" s="101">
        <v>19.489999999999998</v>
      </c>
      <c r="L164" s="102">
        <f t="shared" si="31"/>
        <v>286130.15629999992</v>
      </c>
      <c r="M164" s="103">
        <v>8.27</v>
      </c>
      <c r="N164" s="102">
        <f t="shared" si="32"/>
        <v>26994.520499999999</v>
      </c>
      <c r="O164" s="103">
        <v>3.76</v>
      </c>
      <c r="P164" s="102">
        <f t="shared" si="33"/>
        <v>130860.5208</v>
      </c>
      <c r="Q164" s="104"/>
      <c r="R164" s="104"/>
      <c r="S164" s="42">
        <f t="shared" si="28"/>
        <v>443985.1975999999</v>
      </c>
    </row>
    <row r="165" spans="1:19" ht="23.25" x14ac:dyDescent="0.25">
      <c r="A165" s="97">
        <v>162</v>
      </c>
      <c r="B165" s="105" t="s">
        <v>241</v>
      </c>
      <c r="C165" s="98">
        <f t="shared" si="35"/>
        <v>17762.37</v>
      </c>
      <c r="D165" s="98">
        <v>3497.34</v>
      </c>
      <c r="E165" s="98">
        <f>5724.14+46000.46+357.47</f>
        <v>52082.07</v>
      </c>
      <c r="F165" s="98"/>
      <c r="G165" s="98">
        <v>73341.78</v>
      </c>
      <c r="H165" s="98">
        <v>88010.13</v>
      </c>
      <c r="I165" s="99">
        <f t="shared" si="29"/>
        <v>570940.17629999993</v>
      </c>
      <c r="J165" s="100">
        <f t="shared" si="30"/>
        <v>685128.21155999985</v>
      </c>
      <c r="K165" s="101">
        <v>19.489999999999998</v>
      </c>
      <c r="L165" s="102">
        <f t="shared" si="31"/>
        <v>346188.59129999997</v>
      </c>
      <c r="M165" s="103">
        <v>8.27</v>
      </c>
      <c r="N165" s="102">
        <f t="shared" si="32"/>
        <v>28923.001799999998</v>
      </c>
      <c r="O165" s="103">
        <v>3.76</v>
      </c>
      <c r="P165" s="102">
        <f t="shared" si="33"/>
        <v>195828.58319999999</v>
      </c>
      <c r="Q165" s="104"/>
      <c r="R165" s="104"/>
      <c r="S165" s="42">
        <f t="shared" si="28"/>
        <v>570940.17629999993</v>
      </c>
    </row>
    <row r="166" spans="1:19" ht="23.25" x14ac:dyDescent="0.25">
      <c r="A166" s="97">
        <v>163</v>
      </c>
      <c r="B166" s="105" t="s">
        <v>242</v>
      </c>
      <c r="C166" s="98">
        <f t="shared" si="35"/>
        <v>22005.659999999993</v>
      </c>
      <c r="D166" s="98">
        <v>5126.7</v>
      </c>
      <c r="E166" s="98">
        <f>1321.11+41895.96+357.47</f>
        <v>43574.54</v>
      </c>
      <c r="F166" s="98"/>
      <c r="G166" s="98">
        <v>70706.899999999994</v>
      </c>
      <c r="H166" s="98">
        <v>84848.29</v>
      </c>
      <c r="I166" s="99">
        <f t="shared" si="29"/>
        <v>635128.3927999998</v>
      </c>
      <c r="J166" s="100">
        <f t="shared" si="30"/>
        <v>762154.07135999971</v>
      </c>
      <c r="K166" s="101">
        <v>19.489999999999998</v>
      </c>
      <c r="L166" s="102">
        <f t="shared" si="31"/>
        <v>428890.31339999981</v>
      </c>
      <c r="M166" s="103">
        <v>8.27</v>
      </c>
      <c r="N166" s="102">
        <f t="shared" si="32"/>
        <v>42397.808999999994</v>
      </c>
      <c r="O166" s="103">
        <v>3.76</v>
      </c>
      <c r="P166" s="102">
        <f t="shared" si="33"/>
        <v>163840.27040000001</v>
      </c>
      <c r="Q166" s="104"/>
      <c r="R166" s="104"/>
      <c r="S166" s="42">
        <f t="shared" si="28"/>
        <v>635128.3927999998</v>
      </c>
    </row>
    <row r="167" spans="1:19" ht="23.25" x14ac:dyDescent="0.25">
      <c r="A167" s="97">
        <v>164</v>
      </c>
      <c r="B167" s="105" t="s">
        <v>243</v>
      </c>
      <c r="C167" s="98">
        <f t="shared" si="35"/>
        <v>22581.069999999996</v>
      </c>
      <c r="D167" s="98">
        <v>4652.84</v>
      </c>
      <c r="E167" s="98">
        <f>5724.14+58108.15+357.47</f>
        <v>64189.760000000002</v>
      </c>
      <c r="F167" s="98"/>
      <c r="G167" s="98">
        <v>91423.67</v>
      </c>
      <c r="H167" s="98">
        <v>109708.41</v>
      </c>
      <c r="I167" s="99">
        <f t="shared" si="29"/>
        <v>719937.53869999992</v>
      </c>
      <c r="J167" s="100">
        <f t="shared" si="30"/>
        <v>863925.04643999983</v>
      </c>
      <c r="K167" s="101">
        <v>19.489999999999998</v>
      </c>
      <c r="L167" s="102">
        <f t="shared" si="31"/>
        <v>440105.0542999999</v>
      </c>
      <c r="M167" s="103">
        <v>8.27</v>
      </c>
      <c r="N167" s="102">
        <f t="shared" si="32"/>
        <v>38478.986799999999</v>
      </c>
      <c r="O167" s="103">
        <v>3.76</v>
      </c>
      <c r="P167" s="102">
        <f t="shared" si="33"/>
        <v>241353.4976</v>
      </c>
      <c r="Q167" s="104"/>
      <c r="R167" s="104"/>
      <c r="S167" s="42">
        <f t="shared" si="28"/>
        <v>719937.53869999992</v>
      </c>
    </row>
    <row r="168" spans="1:19" x14ac:dyDescent="0.25">
      <c r="A168" s="97">
        <v>165</v>
      </c>
      <c r="B168" s="105" t="s">
        <v>244</v>
      </c>
      <c r="C168" s="98">
        <f t="shared" si="35"/>
        <v>14898.929999999993</v>
      </c>
      <c r="D168" s="98">
        <v>2991.21</v>
      </c>
      <c r="E168" s="98">
        <f>1614.69+42366.98+357</f>
        <v>44338.670000000006</v>
      </c>
      <c r="F168" s="98"/>
      <c r="G168" s="98">
        <v>62228.81</v>
      </c>
      <c r="H168" s="98">
        <f>G168*1.2</f>
        <v>74674.572</v>
      </c>
      <c r="I168" s="99">
        <f t="shared" si="29"/>
        <v>481830.85159999982</v>
      </c>
      <c r="J168" s="100">
        <f t="shared" si="30"/>
        <v>578197.02191999974</v>
      </c>
      <c r="K168" s="101">
        <v>19.489999999999998</v>
      </c>
      <c r="L168" s="102">
        <f t="shared" si="31"/>
        <v>290380.14569999982</v>
      </c>
      <c r="M168" s="103">
        <v>8.27</v>
      </c>
      <c r="N168" s="102">
        <f t="shared" si="32"/>
        <v>24737.306699999997</v>
      </c>
      <c r="O168" s="103">
        <v>3.76</v>
      </c>
      <c r="P168" s="102">
        <f t="shared" si="33"/>
        <v>166713.39920000001</v>
      </c>
      <c r="Q168" s="104"/>
      <c r="R168" s="104"/>
      <c r="S168" s="42">
        <f t="shared" si="28"/>
        <v>481830.85159999982</v>
      </c>
    </row>
    <row r="169" spans="1:19" x14ac:dyDescent="0.25">
      <c r="A169" s="97">
        <v>166</v>
      </c>
      <c r="B169" s="105" t="s">
        <v>245</v>
      </c>
      <c r="C169" s="98">
        <f t="shared" si="35"/>
        <v>15800.72</v>
      </c>
      <c r="D169" s="98">
        <v>3699.24</v>
      </c>
      <c r="E169" s="98">
        <f>1614.69+62427.93+357</f>
        <v>64399.62</v>
      </c>
      <c r="F169" s="98"/>
      <c r="G169" s="98">
        <v>83899.58</v>
      </c>
      <c r="H169" s="98">
        <f>G169*1.2</f>
        <v>100679.496</v>
      </c>
      <c r="I169" s="99">
        <f t="shared" si="29"/>
        <v>580691.31880000001</v>
      </c>
      <c r="J169" s="100">
        <f t="shared" si="30"/>
        <v>696829.58256000001</v>
      </c>
      <c r="K169" s="101">
        <v>19.489999999999998</v>
      </c>
      <c r="L169" s="102">
        <f t="shared" si="31"/>
        <v>307956.03279999999</v>
      </c>
      <c r="M169" s="103">
        <v>8.27</v>
      </c>
      <c r="N169" s="102">
        <f t="shared" si="32"/>
        <v>30592.714799999998</v>
      </c>
      <c r="O169" s="103">
        <v>3.76</v>
      </c>
      <c r="P169" s="102">
        <f t="shared" si="33"/>
        <v>242142.57120000001</v>
      </c>
      <c r="Q169" s="104"/>
      <c r="R169" s="104"/>
      <c r="S169" s="42">
        <f t="shared" si="28"/>
        <v>580691.31880000001</v>
      </c>
    </row>
    <row r="170" spans="1:19" ht="23.25" x14ac:dyDescent="0.25">
      <c r="A170" s="97">
        <v>167</v>
      </c>
      <c r="B170" s="105" t="s">
        <v>246</v>
      </c>
      <c r="C170" s="98">
        <f t="shared" si="35"/>
        <v>19578.980000000003</v>
      </c>
      <c r="D170" s="98">
        <v>3582.57</v>
      </c>
      <c r="E170" s="98">
        <f>1614.69+78873.86+357</f>
        <v>80845.55</v>
      </c>
      <c r="F170" s="98"/>
      <c r="G170" s="98">
        <v>104007.1</v>
      </c>
      <c r="H170" s="98">
        <v>124808.51</v>
      </c>
      <c r="I170" s="99">
        <f t="shared" si="29"/>
        <v>715201.44209999999</v>
      </c>
      <c r="J170" s="100">
        <f t="shared" si="30"/>
        <v>858241.73051999998</v>
      </c>
      <c r="K170" s="101">
        <v>19.489999999999998</v>
      </c>
      <c r="L170" s="102">
        <f t="shared" si="31"/>
        <v>381594.32020000002</v>
      </c>
      <c r="M170" s="103">
        <v>8.27</v>
      </c>
      <c r="N170" s="102">
        <f t="shared" si="32"/>
        <v>29627.853899999998</v>
      </c>
      <c r="O170" s="103">
        <v>3.76</v>
      </c>
      <c r="P170" s="102">
        <f t="shared" si="33"/>
        <v>303979.26799999998</v>
      </c>
      <c r="Q170" s="104"/>
      <c r="R170" s="104"/>
      <c r="S170" s="42">
        <f t="shared" si="28"/>
        <v>715201.44209999999</v>
      </c>
    </row>
    <row r="171" spans="1:19" ht="23.25" x14ac:dyDescent="0.25">
      <c r="A171" s="97">
        <v>168</v>
      </c>
      <c r="B171" s="105" t="s">
        <v>247</v>
      </c>
      <c r="C171" s="98">
        <f t="shared" si="35"/>
        <v>23542.140000000007</v>
      </c>
      <c r="D171" s="98">
        <v>3582.57</v>
      </c>
      <c r="E171" s="98">
        <f>1614.69+123980.95+357</f>
        <v>125952.64</v>
      </c>
      <c r="F171" s="98"/>
      <c r="G171" s="98">
        <v>153077.35</v>
      </c>
      <c r="H171" s="98">
        <f t="shared" ref="H171:H176" si="36">G171*1.2</f>
        <v>183692.82</v>
      </c>
      <c r="I171" s="99">
        <f t="shared" si="29"/>
        <v>962046.08890000009</v>
      </c>
      <c r="J171" s="100">
        <f t="shared" si="30"/>
        <v>1154455.3066800002</v>
      </c>
      <c r="K171" s="101">
        <v>19.489999999999998</v>
      </c>
      <c r="L171" s="102">
        <f t="shared" si="31"/>
        <v>458836.30860000011</v>
      </c>
      <c r="M171" s="103">
        <v>8.27</v>
      </c>
      <c r="N171" s="102">
        <f t="shared" si="32"/>
        <v>29627.853899999998</v>
      </c>
      <c r="O171" s="103">
        <v>3.76</v>
      </c>
      <c r="P171" s="102">
        <f t="shared" si="33"/>
        <v>473581.9264</v>
      </c>
      <c r="Q171" s="104"/>
      <c r="R171" s="104"/>
      <c r="S171" s="42">
        <f t="shared" si="28"/>
        <v>962046.08890000009</v>
      </c>
    </row>
    <row r="172" spans="1:19" x14ac:dyDescent="0.25">
      <c r="A172" s="97">
        <v>169</v>
      </c>
      <c r="B172" s="105" t="s">
        <v>248</v>
      </c>
      <c r="C172" s="98">
        <f t="shared" si="35"/>
        <v>7263.0200000000013</v>
      </c>
      <c r="D172" s="98">
        <v>1765.86</v>
      </c>
      <c r="E172" s="98">
        <v>2306.65</v>
      </c>
      <c r="F172" s="98"/>
      <c r="G172" s="98">
        <v>11335.53</v>
      </c>
      <c r="H172" s="98">
        <f t="shared" si="36"/>
        <v>13602.636</v>
      </c>
      <c r="I172" s="99">
        <f t="shared" si="29"/>
        <v>164832.92600000001</v>
      </c>
      <c r="J172" s="100">
        <f t="shared" si="30"/>
        <v>197799.51120000001</v>
      </c>
      <c r="K172" s="101">
        <v>19.489999999999998</v>
      </c>
      <c r="L172" s="102">
        <f t="shared" si="31"/>
        <v>141556.25980000003</v>
      </c>
      <c r="M172" s="103">
        <v>8.27</v>
      </c>
      <c r="N172" s="102">
        <f t="shared" si="32"/>
        <v>14603.662199999999</v>
      </c>
      <c r="O172" s="103">
        <v>3.76</v>
      </c>
      <c r="P172" s="102">
        <f t="shared" si="33"/>
        <v>8673.003999999999</v>
      </c>
      <c r="Q172" s="104"/>
      <c r="R172" s="104"/>
      <c r="S172" s="42">
        <f t="shared" si="28"/>
        <v>164832.92600000001</v>
      </c>
    </row>
    <row r="173" spans="1:19" x14ac:dyDescent="0.25">
      <c r="A173" s="97">
        <v>170</v>
      </c>
      <c r="B173" s="105" t="s">
        <v>249</v>
      </c>
      <c r="C173" s="98">
        <f t="shared" si="35"/>
        <v>35085.06</v>
      </c>
      <c r="D173" s="98">
        <v>3554.9</v>
      </c>
      <c r="E173" s="98">
        <v>11183</v>
      </c>
      <c r="F173" s="98"/>
      <c r="G173" s="98">
        <v>49822.96</v>
      </c>
      <c r="H173" s="98">
        <f t="shared" si="36"/>
        <v>59787.551999999996</v>
      </c>
      <c r="I173" s="99">
        <f t="shared" si="29"/>
        <v>755254.92239999992</v>
      </c>
      <c r="J173" s="100">
        <f t="shared" si="30"/>
        <v>906305.90687999991</v>
      </c>
      <c r="K173" s="101">
        <v>19.489999999999998</v>
      </c>
      <c r="L173" s="102">
        <f t="shared" si="31"/>
        <v>683807.81939999992</v>
      </c>
      <c r="M173" s="103">
        <v>8.27</v>
      </c>
      <c r="N173" s="102">
        <f t="shared" si="32"/>
        <v>29399.023000000001</v>
      </c>
      <c r="O173" s="103">
        <v>3.76</v>
      </c>
      <c r="P173" s="102">
        <f t="shared" si="33"/>
        <v>42048.079999999994</v>
      </c>
      <c r="Q173" s="104"/>
      <c r="R173" s="104"/>
      <c r="S173" s="42">
        <f t="shared" si="28"/>
        <v>755254.92239999992</v>
      </c>
    </row>
    <row r="174" spans="1:19" x14ac:dyDescent="0.25">
      <c r="A174" s="97">
        <v>171</v>
      </c>
      <c r="B174" s="105" t="s">
        <v>250</v>
      </c>
      <c r="C174" s="98">
        <f t="shared" si="35"/>
        <v>22108.259999999995</v>
      </c>
      <c r="D174" s="98">
        <v>5537.15</v>
      </c>
      <c r="E174" s="98">
        <f>1614.69+47892.74+357</f>
        <v>49864.43</v>
      </c>
      <c r="F174" s="98"/>
      <c r="G174" s="98">
        <v>77509.84</v>
      </c>
      <c r="H174" s="98">
        <f t="shared" si="36"/>
        <v>93011.80799999999</v>
      </c>
      <c r="I174" s="99">
        <f t="shared" si="29"/>
        <v>664172.4746999999</v>
      </c>
      <c r="J174" s="100">
        <f t="shared" si="30"/>
        <v>797006.96963999991</v>
      </c>
      <c r="K174" s="101">
        <v>19.489999999999998</v>
      </c>
      <c r="L174" s="102">
        <f t="shared" si="31"/>
        <v>430889.98739999987</v>
      </c>
      <c r="M174" s="103">
        <v>8.27</v>
      </c>
      <c r="N174" s="102">
        <f t="shared" si="32"/>
        <v>45792.230499999998</v>
      </c>
      <c r="O174" s="103">
        <v>3.76</v>
      </c>
      <c r="P174" s="102">
        <f t="shared" si="33"/>
        <v>187490.2568</v>
      </c>
      <c r="Q174" s="104"/>
      <c r="R174" s="104"/>
      <c r="S174" s="42">
        <f t="shared" si="28"/>
        <v>664172.4746999999</v>
      </c>
    </row>
    <row r="175" spans="1:19" x14ac:dyDescent="0.25">
      <c r="A175" s="97">
        <v>172</v>
      </c>
      <c r="B175" s="105" t="s">
        <v>251</v>
      </c>
      <c r="C175" s="98">
        <f t="shared" si="35"/>
        <v>27800.05999999999</v>
      </c>
      <c r="D175" s="98">
        <v>5518.26</v>
      </c>
      <c r="E175" s="98">
        <f>1614.69+123797.89+357</f>
        <v>125769.58</v>
      </c>
      <c r="F175" s="98"/>
      <c r="G175" s="98">
        <v>159087.9</v>
      </c>
      <c r="H175" s="98">
        <f t="shared" si="36"/>
        <v>190905.47999999998</v>
      </c>
      <c r="I175" s="99">
        <f t="shared" si="29"/>
        <v>1060352.8003999998</v>
      </c>
      <c r="J175" s="100">
        <f t="shared" si="30"/>
        <v>1272423.3604799998</v>
      </c>
      <c r="K175" s="101">
        <v>19.489999999999998</v>
      </c>
      <c r="L175" s="102">
        <f t="shared" si="31"/>
        <v>541823.16939999978</v>
      </c>
      <c r="M175" s="103">
        <v>8.27</v>
      </c>
      <c r="N175" s="102">
        <f t="shared" si="32"/>
        <v>45636.010199999997</v>
      </c>
      <c r="O175" s="103">
        <v>3.76</v>
      </c>
      <c r="P175" s="102">
        <f t="shared" si="33"/>
        <v>472893.62079999998</v>
      </c>
      <c r="Q175" s="104"/>
      <c r="R175" s="104"/>
      <c r="S175" s="42">
        <f t="shared" si="28"/>
        <v>1060352.8003999998</v>
      </c>
    </row>
    <row r="176" spans="1:19" x14ac:dyDescent="0.25">
      <c r="A176" s="97">
        <v>173</v>
      </c>
      <c r="B176" s="105" t="s">
        <v>252</v>
      </c>
      <c r="C176" s="98">
        <f t="shared" si="35"/>
        <v>31633.22</v>
      </c>
      <c r="D176" s="98">
        <v>5534.47</v>
      </c>
      <c r="E176" s="98">
        <f>1614.69+170070.31+357</f>
        <v>172042</v>
      </c>
      <c r="F176" s="98"/>
      <c r="G176" s="98">
        <v>209209.69</v>
      </c>
      <c r="H176" s="98">
        <f t="shared" si="36"/>
        <v>251051.628</v>
      </c>
      <c r="I176" s="99">
        <f t="shared" si="29"/>
        <v>1309179.4446999999</v>
      </c>
      <c r="J176" s="100">
        <f t="shared" si="30"/>
        <v>1571015.3336399999</v>
      </c>
      <c r="K176" s="101">
        <v>19.489999999999998</v>
      </c>
      <c r="L176" s="102">
        <f t="shared" si="31"/>
        <v>616531.45779999997</v>
      </c>
      <c r="M176" s="103">
        <v>8.27</v>
      </c>
      <c r="N176" s="102">
        <f t="shared" si="32"/>
        <v>45770.066899999998</v>
      </c>
      <c r="O176" s="103">
        <v>3.76</v>
      </c>
      <c r="P176" s="102">
        <f t="shared" si="33"/>
        <v>646877.91999999993</v>
      </c>
      <c r="Q176" s="104"/>
      <c r="R176" s="104"/>
      <c r="S176" s="42">
        <f t="shared" si="28"/>
        <v>1309179.4446999999</v>
      </c>
    </row>
    <row r="177" spans="1:19" x14ac:dyDescent="0.25">
      <c r="A177" s="97">
        <v>174</v>
      </c>
      <c r="B177" s="105" t="s">
        <v>253</v>
      </c>
      <c r="C177" s="98">
        <f t="shared" si="35"/>
        <v>32482.709999999992</v>
      </c>
      <c r="D177" s="98">
        <v>5534.47</v>
      </c>
      <c r="E177" s="98">
        <f>1614.69+180565.19+357</f>
        <v>182536.88</v>
      </c>
      <c r="F177" s="98"/>
      <c r="G177" s="98">
        <v>220554.06</v>
      </c>
      <c r="H177" s="98">
        <v>264664.88</v>
      </c>
      <c r="I177" s="99">
        <f t="shared" si="29"/>
        <v>1365196.7535999997</v>
      </c>
      <c r="J177" s="100">
        <f t="shared" si="30"/>
        <v>1638236.1043199997</v>
      </c>
      <c r="K177" s="101">
        <v>19.489999999999998</v>
      </c>
      <c r="L177" s="102">
        <f t="shared" si="31"/>
        <v>633088.01789999974</v>
      </c>
      <c r="M177" s="103">
        <v>8.27</v>
      </c>
      <c r="N177" s="102">
        <f t="shared" si="32"/>
        <v>45770.066899999998</v>
      </c>
      <c r="O177" s="103">
        <v>3.76</v>
      </c>
      <c r="P177" s="102">
        <f t="shared" si="33"/>
        <v>686338.66879999998</v>
      </c>
      <c r="Q177" s="104"/>
      <c r="R177" s="104"/>
      <c r="S177" s="42">
        <f t="shared" si="28"/>
        <v>1365196.7535999997</v>
      </c>
    </row>
    <row r="178" spans="1:19" x14ac:dyDescent="0.25">
      <c r="A178" s="97">
        <v>175</v>
      </c>
      <c r="B178" s="105" t="s">
        <v>254</v>
      </c>
      <c r="C178" s="98">
        <f t="shared" si="35"/>
        <v>34319.15</v>
      </c>
      <c r="D178" s="98">
        <v>5521.13</v>
      </c>
      <c r="E178" s="98">
        <f>1614.69+206484.49+357</f>
        <v>208456.18</v>
      </c>
      <c r="F178" s="98"/>
      <c r="G178" s="98">
        <v>248296.46</v>
      </c>
      <c r="H178" s="98">
        <f>G178*1.2</f>
        <v>297955.75199999998</v>
      </c>
      <c r="I178" s="99">
        <f t="shared" si="29"/>
        <v>1498335.2154000001</v>
      </c>
      <c r="J178" s="100">
        <f t="shared" si="30"/>
        <v>1798002.2584800001</v>
      </c>
      <c r="K178" s="101">
        <v>19.489999999999998</v>
      </c>
      <c r="L178" s="102">
        <f t="shared" si="31"/>
        <v>668880.23349999997</v>
      </c>
      <c r="M178" s="103">
        <v>8.27</v>
      </c>
      <c r="N178" s="102">
        <f t="shared" si="32"/>
        <v>45659.7451</v>
      </c>
      <c r="O178" s="103">
        <v>3.76</v>
      </c>
      <c r="P178" s="102">
        <f t="shared" si="33"/>
        <v>783795.23679999996</v>
      </c>
      <c r="Q178" s="104"/>
      <c r="R178" s="104"/>
      <c r="S178" s="42">
        <f t="shared" si="28"/>
        <v>1498335.2154000001</v>
      </c>
    </row>
    <row r="179" spans="1:19" ht="23.25" x14ac:dyDescent="0.25">
      <c r="A179" s="97">
        <v>176</v>
      </c>
      <c r="B179" s="105" t="s">
        <v>255</v>
      </c>
      <c r="C179" s="98">
        <f t="shared" si="35"/>
        <v>52256.069999999978</v>
      </c>
      <c r="D179" s="98">
        <v>8703.66</v>
      </c>
      <c r="E179" s="98">
        <f>2642.22+242088.09+357</f>
        <v>245087.31</v>
      </c>
      <c r="F179" s="98"/>
      <c r="G179" s="98">
        <v>306047.03999999998</v>
      </c>
      <c r="H179" s="98">
        <f>G179*1.2</f>
        <v>367256.44799999997</v>
      </c>
      <c r="I179" s="99">
        <f t="shared" si="29"/>
        <v>2011978.3580999994</v>
      </c>
      <c r="J179" s="100">
        <f t="shared" si="30"/>
        <v>2414374.0297199991</v>
      </c>
      <c r="K179" s="101">
        <v>19.489999999999998</v>
      </c>
      <c r="L179" s="102">
        <f t="shared" si="31"/>
        <v>1018470.8042999995</v>
      </c>
      <c r="M179" s="103">
        <v>8.27</v>
      </c>
      <c r="N179" s="102">
        <f t="shared" si="32"/>
        <v>71979.268199999991</v>
      </c>
      <c r="O179" s="103">
        <v>3.76</v>
      </c>
      <c r="P179" s="102">
        <f t="shared" si="33"/>
        <v>921528.28559999994</v>
      </c>
      <c r="Q179" s="104"/>
      <c r="R179" s="104"/>
      <c r="S179" s="42">
        <f t="shared" si="28"/>
        <v>2011978.3580999994</v>
      </c>
    </row>
    <row r="180" spans="1:19" ht="23.25" x14ac:dyDescent="0.25">
      <c r="A180" s="97">
        <v>177</v>
      </c>
      <c r="B180" s="105" t="s">
        <v>256</v>
      </c>
      <c r="C180" s="98">
        <f t="shared" si="35"/>
        <v>56970.140000000014</v>
      </c>
      <c r="D180" s="98">
        <v>8692.94</v>
      </c>
      <c r="E180" s="98">
        <f>1614.69+339208.04+357</f>
        <v>341179.73</v>
      </c>
      <c r="F180" s="98"/>
      <c r="G180" s="98">
        <v>406842.81</v>
      </c>
      <c r="H180" s="98">
        <f>G180*1.2</f>
        <v>488211.37199999997</v>
      </c>
      <c r="I180" s="99">
        <f t="shared" si="29"/>
        <v>2465074.4271999998</v>
      </c>
      <c r="J180" s="100">
        <f t="shared" si="30"/>
        <v>2958089.3126399997</v>
      </c>
      <c r="K180" s="101">
        <v>19.489999999999998</v>
      </c>
      <c r="L180" s="102">
        <f t="shared" si="31"/>
        <v>1110348.0286000001</v>
      </c>
      <c r="M180" s="103">
        <v>8.27</v>
      </c>
      <c r="N180" s="102">
        <f t="shared" si="32"/>
        <v>71890.613800000006</v>
      </c>
      <c r="O180" s="103">
        <v>3.76</v>
      </c>
      <c r="P180" s="102">
        <f t="shared" si="33"/>
        <v>1282835.7847999998</v>
      </c>
      <c r="Q180" s="104"/>
      <c r="R180" s="104"/>
      <c r="S180" s="42">
        <f t="shared" si="28"/>
        <v>2465074.4271999998</v>
      </c>
    </row>
    <row r="181" spans="1:19" ht="23.25" x14ac:dyDescent="0.25">
      <c r="A181" s="97">
        <v>178</v>
      </c>
      <c r="B181" s="105" t="s">
        <v>257</v>
      </c>
      <c r="C181" s="98">
        <f t="shared" si="35"/>
        <v>58535.19</v>
      </c>
      <c r="D181" s="98">
        <v>8692.94</v>
      </c>
      <c r="E181" s="98">
        <f>1614.69+359293.22+357</f>
        <v>361264.91</v>
      </c>
      <c r="F181" s="98"/>
      <c r="G181" s="98">
        <v>428493.04</v>
      </c>
      <c r="H181" s="98">
        <f>G181*1.2</f>
        <v>514191.64799999993</v>
      </c>
      <c r="I181" s="99">
        <f t="shared" si="29"/>
        <v>2571097.5285</v>
      </c>
      <c r="J181" s="100">
        <f t="shared" si="30"/>
        <v>3085317.0342000001</v>
      </c>
      <c r="K181" s="101">
        <v>19.489999999999998</v>
      </c>
      <c r="L181" s="102">
        <f t="shared" si="31"/>
        <v>1140850.8530999999</v>
      </c>
      <c r="M181" s="103">
        <v>8.27</v>
      </c>
      <c r="N181" s="102">
        <f t="shared" si="32"/>
        <v>71890.613800000006</v>
      </c>
      <c r="O181" s="103">
        <v>3.76</v>
      </c>
      <c r="P181" s="102">
        <f t="shared" si="33"/>
        <v>1358356.0615999999</v>
      </c>
      <c r="Q181" s="104"/>
      <c r="R181" s="104"/>
      <c r="S181" s="42">
        <f t="shared" si="28"/>
        <v>2571097.5285</v>
      </c>
    </row>
    <row r="182" spans="1:19" ht="23.25" x14ac:dyDescent="0.25">
      <c r="A182" s="97">
        <v>179</v>
      </c>
      <c r="B182" s="105" t="s">
        <v>258</v>
      </c>
      <c r="C182" s="98">
        <f t="shared" si="35"/>
        <v>61578.849999999991</v>
      </c>
      <c r="D182" s="98">
        <v>8707.14</v>
      </c>
      <c r="E182" s="98">
        <f>1614.69+412344.38+357</f>
        <v>414316.07</v>
      </c>
      <c r="F182" s="98"/>
      <c r="G182" s="98">
        <v>484602.06</v>
      </c>
      <c r="H182" s="98">
        <v>581522.46</v>
      </c>
      <c r="I182" s="99">
        <f t="shared" si="29"/>
        <v>2830008.2574999994</v>
      </c>
      <c r="J182" s="100">
        <f t="shared" si="30"/>
        <v>3396009.9089999991</v>
      </c>
      <c r="K182" s="101">
        <v>19.489999999999998</v>
      </c>
      <c r="L182" s="102">
        <f t="shared" si="31"/>
        <v>1200171.7864999997</v>
      </c>
      <c r="M182" s="103">
        <v>8.27</v>
      </c>
      <c r="N182" s="102">
        <f t="shared" si="32"/>
        <v>72008.047799999986</v>
      </c>
      <c r="O182" s="103">
        <v>3.76</v>
      </c>
      <c r="P182" s="102">
        <f t="shared" si="33"/>
        <v>1557828.4231999998</v>
      </c>
      <c r="Q182" s="104"/>
      <c r="R182" s="104"/>
      <c r="S182" s="42">
        <f t="shared" si="28"/>
        <v>2830008.2574999994</v>
      </c>
    </row>
    <row r="183" spans="1:19" ht="23.25" x14ac:dyDescent="0.25">
      <c r="A183" s="97">
        <v>180</v>
      </c>
      <c r="B183" s="105" t="s">
        <v>259</v>
      </c>
      <c r="C183" s="98">
        <f t="shared" si="35"/>
        <v>78508.600000000108</v>
      </c>
      <c r="D183" s="98">
        <v>8707.14</v>
      </c>
      <c r="E183" s="98">
        <f>1614.69+629613.19+357</f>
        <v>631584.87999999989</v>
      </c>
      <c r="F183" s="98"/>
      <c r="G183" s="98">
        <v>718800.62</v>
      </c>
      <c r="H183" s="98">
        <f>G183*1.2</f>
        <v>862560.74399999995</v>
      </c>
      <c r="I183" s="99">
        <f t="shared" si="29"/>
        <v>3976899.8106000014</v>
      </c>
      <c r="J183" s="100">
        <f t="shared" si="30"/>
        <v>4772279.7727200016</v>
      </c>
      <c r="K183" s="101">
        <v>19.489999999999998</v>
      </c>
      <c r="L183" s="102">
        <f t="shared" si="31"/>
        <v>1530132.6140000019</v>
      </c>
      <c r="M183" s="103">
        <v>8.27</v>
      </c>
      <c r="N183" s="102">
        <f t="shared" si="32"/>
        <v>72008.047799999986</v>
      </c>
      <c r="O183" s="103">
        <v>3.76</v>
      </c>
      <c r="P183" s="102">
        <f t="shared" si="33"/>
        <v>2374759.1487999996</v>
      </c>
      <c r="Q183" s="104"/>
      <c r="R183" s="104"/>
      <c r="S183" s="42">
        <f t="shared" si="28"/>
        <v>3976899.8106000014</v>
      </c>
    </row>
    <row r="184" spans="1:19" ht="23.25" x14ac:dyDescent="0.25">
      <c r="A184" s="97">
        <v>181</v>
      </c>
      <c r="B184" s="105" t="s">
        <v>260</v>
      </c>
      <c r="C184" s="98">
        <f t="shared" si="35"/>
        <v>96151.859999999971</v>
      </c>
      <c r="D184" s="98">
        <v>15463.05</v>
      </c>
      <c r="E184" s="98">
        <f>2306.7+501873.74+357</f>
        <v>504537.44</v>
      </c>
      <c r="F184" s="98"/>
      <c r="G184" s="98">
        <v>616152.35</v>
      </c>
      <c r="H184" s="98">
        <f>G184*1.2</f>
        <v>739382.82</v>
      </c>
      <c r="I184" s="99">
        <f t="shared" si="29"/>
        <v>3898939.9492999995</v>
      </c>
      <c r="J184" s="100">
        <f t="shared" si="30"/>
        <v>4678727.9391599996</v>
      </c>
      <c r="K184" s="101">
        <v>19.489999999999998</v>
      </c>
      <c r="L184" s="102">
        <f t="shared" si="31"/>
        <v>1873999.7513999993</v>
      </c>
      <c r="M184" s="103">
        <v>8.27</v>
      </c>
      <c r="N184" s="102">
        <f t="shared" si="32"/>
        <v>127879.42349999999</v>
      </c>
      <c r="O184" s="103">
        <v>3.76</v>
      </c>
      <c r="P184" s="102">
        <f t="shared" si="33"/>
        <v>1897060.7744</v>
      </c>
      <c r="Q184" s="104"/>
      <c r="R184" s="104"/>
      <c r="S184" s="42">
        <f t="shared" si="28"/>
        <v>3898939.9492999995</v>
      </c>
    </row>
    <row r="185" spans="1:19" ht="23.25" x14ac:dyDescent="0.25">
      <c r="A185" s="97">
        <v>182</v>
      </c>
      <c r="B185" s="105" t="s">
        <v>261</v>
      </c>
      <c r="C185" s="98">
        <f t="shared" si="35"/>
        <v>108709.43999999999</v>
      </c>
      <c r="D185" s="98">
        <v>15457.05</v>
      </c>
      <c r="E185" s="98">
        <f>2306.7+666207.54+357</f>
        <v>668871.24</v>
      </c>
      <c r="F185" s="98"/>
      <c r="G185" s="98">
        <v>793037.73</v>
      </c>
      <c r="H185" s="98">
        <f>G185*1.2</f>
        <v>951645.27599999995</v>
      </c>
      <c r="I185" s="99">
        <f t="shared" si="29"/>
        <v>4761532.6514999997</v>
      </c>
      <c r="J185" s="100">
        <f t="shared" si="30"/>
        <v>5713839.1817999994</v>
      </c>
      <c r="K185" s="101">
        <v>19.489999999999998</v>
      </c>
      <c r="L185" s="102">
        <f t="shared" si="31"/>
        <v>2118746.9855999998</v>
      </c>
      <c r="M185" s="103">
        <v>8.27</v>
      </c>
      <c r="N185" s="102">
        <f t="shared" si="32"/>
        <v>127829.80349999999</v>
      </c>
      <c r="O185" s="103">
        <v>3.76</v>
      </c>
      <c r="P185" s="102">
        <f t="shared" si="33"/>
        <v>2514955.8624</v>
      </c>
      <c r="Q185" s="104"/>
      <c r="R185" s="104"/>
      <c r="S185" s="42">
        <f t="shared" si="28"/>
        <v>4761532.6514999997</v>
      </c>
    </row>
    <row r="186" spans="1:19" ht="23.25" x14ac:dyDescent="0.25">
      <c r="A186" s="97">
        <v>183</v>
      </c>
      <c r="B186" s="105" t="s">
        <v>69</v>
      </c>
      <c r="C186" s="98">
        <f t="shared" si="35"/>
        <v>377367.85</v>
      </c>
      <c r="D186" s="98">
        <v>87527.6</v>
      </c>
      <c r="E186" s="98">
        <f>54515.34+1703963.06+2306.65</f>
        <v>1760785.05</v>
      </c>
      <c r="F186" s="98"/>
      <c r="G186" s="98">
        <v>2225680.5</v>
      </c>
      <c r="H186" s="98">
        <v>2670816.61</v>
      </c>
      <c r="I186" s="99">
        <f t="shared" si="29"/>
        <v>14699304.436499998</v>
      </c>
      <c r="J186" s="100">
        <f t="shared" si="30"/>
        <v>17639165.323799998</v>
      </c>
      <c r="K186" s="101">
        <v>19.489999999999998</v>
      </c>
      <c r="L186" s="102">
        <f t="shared" si="31"/>
        <v>7354899.3964999989</v>
      </c>
      <c r="M186" s="103">
        <v>8.27</v>
      </c>
      <c r="N186" s="102">
        <f t="shared" si="32"/>
        <v>723853.25199999998</v>
      </c>
      <c r="O186" s="103">
        <v>3.76</v>
      </c>
      <c r="P186" s="102">
        <f t="shared" si="33"/>
        <v>6620551.7879999997</v>
      </c>
      <c r="Q186" s="104"/>
      <c r="R186" s="104"/>
      <c r="S186" s="42">
        <f t="shared" si="28"/>
        <v>14699304.436499998</v>
      </c>
    </row>
    <row r="187" spans="1:19" x14ac:dyDescent="0.25">
      <c r="A187" s="97">
        <v>184</v>
      </c>
      <c r="B187" s="105" t="s">
        <v>262</v>
      </c>
      <c r="C187" s="98">
        <f t="shared" si="35"/>
        <v>216988.68000000002</v>
      </c>
      <c r="D187" s="98">
        <v>52450.09</v>
      </c>
      <c r="E187" s="98">
        <f>39838.56+1029835.47+1579.27</f>
        <v>1071253.3</v>
      </c>
      <c r="F187" s="98"/>
      <c r="G187" s="98">
        <v>1340692.07</v>
      </c>
      <c r="H187" s="98">
        <f>G187*1.2</f>
        <v>1608830.4839999999</v>
      </c>
      <c r="I187" s="99">
        <f t="shared" si="29"/>
        <v>8690784.0254999995</v>
      </c>
      <c r="J187" s="100">
        <f t="shared" si="30"/>
        <v>10428940.830599999</v>
      </c>
      <c r="K187" s="101">
        <v>19.489999999999998</v>
      </c>
      <c r="L187" s="102">
        <f t="shared" si="31"/>
        <v>4229109.3732000003</v>
      </c>
      <c r="M187" s="103">
        <v>8.27</v>
      </c>
      <c r="N187" s="102">
        <f t="shared" si="32"/>
        <v>433762.24429999996</v>
      </c>
      <c r="O187" s="103">
        <v>3.76</v>
      </c>
      <c r="P187" s="102">
        <f t="shared" si="33"/>
        <v>4027912.4079999998</v>
      </c>
      <c r="Q187" s="104"/>
      <c r="R187" s="104"/>
      <c r="S187" s="42">
        <f t="shared" si="28"/>
        <v>8690784.0254999995</v>
      </c>
    </row>
    <row r="188" spans="1:19" ht="23.25" x14ac:dyDescent="0.25">
      <c r="A188" s="97">
        <v>185</v>
      </c>
      <c r="B188" s="105" t="s">
        <v>68</v>
      </c>
      <c r="C188" s="98">
        <f t="shared" si="35"/>
        <v>216601.12000000005</v>
      </c>
      <c r="D188" s="98">
        <v>48603.18</v>
      </c>
      <c r="E188" s="98">
        <f>54515.34+1153319.67+2306.65</f>
        <v>1210141.6599999999</v>
      </c>
      <c r="F188" s="98"/>
      <c r="G188" s="98">
        <v>1475345.96</v>
      </c>
      <c r="H188" s="98">
        <f>G188*1.2</f>
        <v>1770415.152</v>
      </c>
      <c r="I188" s="99">
        <f t="shared" si="29"/>
        <v>9173636.7690000013</v>
      </c>
      <c r="J188" s="100">
        <f t="shared" si="30"/>
        <v>11008364.122800002</v>
      </c>
      <c r="K188" s="101">
        <v>19.489999999999998</v>
      </c>
      <c r="L188" s="102">
        <f t="shared" si="31"/>
        <v>4221555.8288000003</v>
      </c>
      <c r="M188" s="103">
        <v>8.27</v>
      </c>
      <c r="N188" s="102">
        <f t="shared" si="32"/>
        <v>401948.29859999998</v>
      </c>
      <c r="O188" s="103">
        <v>3.76</v>
      </c>
      <c r="P188" s="102">
        <f t="shared" si="33"/>
        <v>4550132.6415999997</v>
      </c>
      <c r="Q188" s="104"/>
      <c r="R188" s="104"/>
      <c r="S188" s="42">
        <f t="shared" si="28"/>
        <v>9173636.7690000013</v>
      </c>
    </row>
    <row r="189" spans="1:19" ht="23.25" x14ac:dyDescent="0.25">
      <c r="A189" s="97">
        <v>186</v>
      </c>
      <c r="B189" s="105" t="s">
        <v>263</v>
      </c>
      <c r="C189" s="98">
        <f t="shared" si="35"/>
        <v>143104.59999999998</v>
      </c>
      <c r="D189" s="98">
        <v>30095.74</v>
      </c>
      <c r="E189" s="98">
        <f>54515.34+695107.66+2306.65</f>
        <v>751929.65</v>
      </c>
      <c r="F189" s="98"/>
      <c r="G189" s="98">
        <v>925129.99</v>
      </c>
      <c r="H189" s="98">
        <v>1110155.98</v>
      </c>
      <c r="I189" s="99">
        <f t="shared" si="29"/>
        <v>5865255.9077999983</v>
      </c>
      <c r="J189" s="100">
        <f t="shared" si="30"/>
        <v>7038307.0893599978</v>
      </c>
      <c r="K189" s="101">
        <v>19.489999999999998</v>
      </c>
      <c r="L189" s="102">
        <f t="shared" si="31"/>
        <v>2789108.6539999992</v>
      </c>
      <c r="M189" s="103">
        <v>8.27</v>
      </c>
      <c r="N189" s="102">
        <f t="shared" si="32"/>
        <v>248891.76980000001</v>
      </c>
      <c r="O189" s="103">
        <v>3.76</v>
      </c>
      <c r="P189" s="102">
        <f t="shared" si="33"/>
        <v>2827255.4839999997</v>
      </c>
      <c r="Q189" s="104"/>
      <c r="R189" s="104"/>
      <c r="S189" s="42">
        <f t="shared" si="28"/>
        <v>5865255.9077999983</v>
      </c>
    </row>
    <row r="190" spans="1:19" ht="23.25" x14ac:dyDescent="0.25">
      <c r="A190" s="97">
        <v>187</v>
      </c>
      <c r="B190" s="105" t="s">
        <v>264</v>
      </c>
      <c r="C190" s="98">
        <f t="shared" si="35"/>
        <v>134094.41999999998</v>
      </c>
      <c r="D190" s="98">
        <v>30027.57</v>
      </c>
      <c r="E190" s="98">
        <f>54515.34+604324.15+2306.65</f>
        <v>661146.14</v>
      </c>
      <c r="F190" s="98"/>
      <c r="G190" s="98">
        <v>825268.13</v>
      </c>
      <c r="H190" s="98">
        <f>G190*1.2</f>
        <v>990321.75599999994</v>
      </c>
      <c r="I190" s="99">
        <f t="shared" si="29"/>
        <v>5347737.7360999994</v>
      </c>
      <c r="J190" s="100">
        <f t="shared" si="30"/>
        <v>6417285.2833199995</v>
      </c>
      <c r="K190" s="101">
        <v>19.489999999999998</v>
      </c>
      <c r="L190" s="102">
        <f t="shared" si="31"/>
        <v>2613500.2457999997</v>
      </c>
      <c r="M190" s="103">
        <v>8.27</v>
      </c>
      <c r="N190" s="102">
        <f t="shared" si="32"/>
        <v>248328.00389999998</v>
      </c>
      <c r="O190" s="103">
        <v>3.76</v>
      </c>
      <c r="P190" s="102">
        <f t="shared" si="33"/>
        <v>2485909.4863999998</v>
      </c>
      <c r="Q190" s="104"/>
      <c r="R190" s="104"/>
      <c r="S190" s="42">
        <f t="shared" si="28"/>
        <v>5347737.7360999994</v>
      </c>
    </row>
    <row r="191" spans="1:19" ht="23.25" x14ac:dyDescent="0.25">
      <c r="A191" s="97">
        <v>188</v>
      </c>
      <c r="B191" s="105" t="s">
        <v>265</v>
      </c>
      <c r="C191" s="98">
        <f t="shared" si="35"/>
        <v>403942.00000000006</v>
      </c>
      <c r="D191" s="98">
        <v>81496.56</v>
      </c>
      <c r="E191" s="98">
        <f>109030.68+1855667.43+4613.31</f>
        <v>1969311.42</v>
      </c>
      <c r="F191" s="98"/>
      <c r="G191" s="98">
        <v>2454749.98</v>
      </c>
      <c r="H191" s="98">
        <f>G191*1.2</f>
        <v>2945699.9759999998</v>
      </c>
      <c r="I191" s="99">
        <f t="shared" si="29"/>
        <v>15951417.0704</v>
      </c>
      <c r="J191" s="100">
        <f t="shared" si="30"/>
        <v>19141700.484479997</v>
      </c>
      <c r="K191" s="101">
        <v>19.489999999999998</v>
      </c>
      <c r="L191" s="102">
        <f t="shared" si="31"/>
        <v>7872829.5800000001</v>
      </c>
      <c r="M191" s="103">
        <v>8.27</v>
      </c>
      <c r="N191" s="102">
        <f t="shared" si="32"/>
        <v>673976.55119999999</v>
      </c>
      <c r="O191" s="103">
        <v>3.76</v>
      </c>
      <c r="P191" s="102">
        <f t="shared" si="33"/>
        <v>7404610.939199999</v>
      </c>
      <c r="Q191" s="104"/>
      <c r="R191" s="104"/>
      <c r="S191" s="42">
        <f t="shared" si="28"/>
        <v>15951417.0704</v>
      </c>
    </row>
    <row r="192" spans="1:19" ht="23.25" x14ac:dyDescent="0.25">
      <c r="A192" s="97">
        <v>189</v>
      </c>
      <c r="B192" s="105" t="s">
        <v>266</v>
      </c>
      <c r="C192" s="98">
        <f t="shared" si="35"/>
        <v>421918.15000000037</v>
      </c>
      <c r="D192" s="98">
        <v>87527.5</v>
      </c>
      <c r="E192" s="98">
        <f>54515.34+2273252.03+2306.65</f>
        <v>2330074.0199999996</v>
      </c>
      <c r="F192" s="98"/>
      <c r="G192" s="98">
        <v>2839519.67</v>
      </c>
      <c r="H192" s="98">
        <v>3407423.61</v>
      </c>
      <c r="I192" s="99">
        <f t="shared" si="29"/>
        <v>17708115.483700003</v>
      </c>
      <c r="J192" s="100">
        <f t="shared" si="30"/>
        <v>21249738.580440003</v>
      </c>
      <c r="K192" s="101">
        <v>19.489999999999998</v>
      </c>
      <c r="L192" s="102">
        <f t="shared" si="31"/>
        <v>8223184.7435000064</v>
      </c>
      <c r="M192" s="103">
        <v>8.27</v>
      </c>
      <c r="N192" s="102">
        <f t="shared" si="32"/>
        <v>723852.42499999993</v>
      </c>
      <c r="O192" s="103">
        <v>3.76</v>
      </c>
      <c r="P192" s="102">
        <f t="shared" si="33"/>
        <v>8761078.3151999973</v>
      </c>
      <c r="Q192" s="104"/>
      <c r="R192" s="104"/>
      <c r="S192" s="42">
        <f t="shared" si="28"/>
        <v>17708115.483700003</v>
      </c>
    </row>
    <row r="193" spans="1:19" x14ac:dyDescent="0.25">
      <c r="A193" s="97">
        <v>190</v>
      </c>
      <c r="B193" s="105" t="s">
        <v>267</v>
      </c>
      <c r="C193" s="98">
        <f t="shared" si="35"/>
        <v>327369.76000000013</v>
      </c>
      <c r="D193" s="98">
        <v>482072.15</v>
      </c>
      <c r="E193" s="98">
        <v>523168.2</v>
      </c>
      <c r="F193" s="98"/>
      <c r="G193" s="98">
        <v>1332610.1100000001</v>
      </c>
      <c r="H193" s="98">
        <f>G193*1.2</f>
        <v>1599132.132</v>
      </c>
      <c r="I193" s="99">
        <f t="shared" si="29"/>
        <v>12334285.734900001</v>
      </c>
      <c r="J193" s="100">
        <f t="shared" si="30"/>
        <v>14801142.881880002</v>
      </c>
      <c r="K193" s="101">
        <v>19.489999999999998</v>
      </c>
      <c r="L193" s="102">
        <f t="shared" si="31"/>
        <v>6380436.6224000016</v>
      </c>
      <c r="M193" s="103">
        <v>8.27</v>
      </c>
      <c r="N193" s="102">
        <f t="shared" si="32"/>
        <v>3986736.6804999998</v>
      </c>
      <c r="O193" s="103">
        <v>3.76</v>
      </c>
      <c r="P193" s="102">
        <f t="shared" si="33"/>
        <v>1967112.432</v>
      </c>
      <c r="Q193" s="104"/>
      <c r="R193" s="104"/>
      <c r="S193" s="42">
        <f t="shared" si="28"/>
        <v>12334285.734900001</v>
      </c>
    </row>
    <row r="194" spans="1:19" x14ac:dyDescent="0.25">
      <c r="A194" s="97">
        <v>191</v>
      </c>
      <c r="B194" s="105" t="s">
        <v>268</v>
      </c>
      <c r="C194" s="98">
        <f>G194-D194</f>
        <v>56.929999999999993</v>
      </c>
      <c r="D194" s="98">
        <v>33.03</v>
      </c>
      <c r="E194" s="98"/>
      <c r="F194" s="98"/>
      <c r="G194" s="98">
        <v>89.96</v>
      </c>
      <c r="H194" s="98">
        <f>G194*1.2</f>
        <v>107.95199999999998</v>
      </c>
      <c r="I194" s="99">
        <f t="shared" si="29"/>
        <v>1382.7237999999998</v>
      </c>
      <c r="J194" s="100">
        <f t="shared" si="30"/>
        <v>1659.2685599999998</v>
      </c>
      <c r="K194" s="101">
        <v>19.489999999999998</v>
      </c>
      <c r="L194" s="102">
        <f t="shared" si="31"/>
        <v>1109.5656999999999</v>
      </c>
      <c r="M194" s="103">
        <v>8.27</v>
      </c>
      <c r="N194" s="102">
        <f t="shared" si="32"/>
        <v>273.15809999999999</v>
      </c>
      <c r="O194" s="103">
        <v>3.76</v>
      </c>
      <c r="P194" s="102">
        <f t="shared" si="33"/>
        <v>0</v>
      </c>
      <c r="Q194" s="104"/>
      <c r="R194" s="104"/>
      <c r="S194" s="42">
        <f t="shared" si="28"/>
        <v>1382.7237999999998</v>
      </c>
    </row>
    <row r="195" spans="1:19" ht="23.25" x14ac:dyDescent="0.25">
      <c r="A195" s="97">
        <v>192</v>
      </c>
      <c r="B195" s="105" t="s">
        <v>269</v>
      </c>
      <c r="C195" s="98">
        <f>G195-D195-E195</f>
        <v>118256.65000000002</v>
      </c>
      <c r="D195" s="98">
        <v>30007.73</v>
      </c>
      <c r="E195" s="98">
        <f>54515.34+409425.74+2306.65</f>
        <v>466247.73</v>
      </c>
      <c r="F195" s="98"/>
      <c r="G195" s="98">
        <v>614512.11</v>
      </c>
      <c r="H195" s="98">
        <f>G195*1.2</f>
        <v>737414.53200000001</v>
      </c>
      <c r="I195" s="99">
        <f t="shared" si="29"/>
        <v>4306077.5003999993</v>
      </c>
      <c r="J195" s="100">
        <f t="shared" si="30"/>
        <v>5167293.000479999</v>
      </c>
      <c r="K195" s="101">
        <v>19.489999999999998</v>
      </c>
      <c r="L195" s="102">
        <f t="shared" si="31"/>
        <v>2304822.1085000001</v>
      </c>
      <c r="M195" s="103">
        <v>8.27</v>
      </c>
      <c r="N195" s="102">
        <f t="shared" si="32"/>
        <v>248163.92709999997</v>
      </c>
      <c r="O195" s="103">
        <v>3.76</v>
      </c>
      <c r="P195" s="102">
        <f t="shared" si="33"/>
        <v>1753091.4647999997</v>
      </c>
      <c r="Q195" s="104"/>
      <c r="R195" s="104"/>
      <c r="S195" s="42">
        <f t="shared" si="28"/>
        <v>4306077.5003999993</v>
      </c>
    </row>
    <row r="196" spans="1:19" x14ac:dyDescent="0.25">
      <c r="A196" s="97">
        <v>193</v>
      </c>
      <c r="B196" s="105" t="s">
        <v>270</v>
      </c>
      <c r="C196" s="98">
        <f>G196-D196-E196</f>
        <v>125079.63</v>
      </c>
      <c r="D196" s="98">
        <v>32586.639999999999</v>
      </c>
      <c r="E196" s="98">
        <f>39838.56+577390.21+1579.27</f>
        <v>618808.04</v>
      </c>
      <c r="F196" s="98"/>
      <c r="G196" s="98">
        <v>776474.31</v>
      </c>
      <c r="H196" s="98">
        <v>931769.18</v>
      </c>
      <c r="I196" s="99">
        <f t="shared" si="29"/>
        <v>5034011.7319000009</v>
      </c>
      <c r="J196" s="100">
        <f t="shared" si="30"/>
        <v>6040814.0782800009</v>
      </c>
      <c r="K196" s="101">
        <v>19.489999999999998</v>
      </c>
      <c r="L196" s="102">
        <f t="shared" si="31"/>
        <v>2437801.9887000001</v>
      </c>
      <c r="M196" s="103">
        <v>8.27</v>
      </c>
      <c r="N196" s="102">
        <f t="shared" si="32"/>
        <v>269491.51279999997</v>
      </c>
      <c r="O196" s="103">
        <v>3.76</v>
      </c>
      <c r="P196" s="102">
        <f t="shared" si="33"/>
        <v>2326718.2304000002</v>
      </c>
      <c r="Q196" s="104"/>
      <c r="R196" s="104"/>
      <c r="S196" s="42">
        <f t="shared" ref="S196:S259" si="37">I196-R196</f>
        <v>5034011.7319000009</v>
      </c>
    </row>
    <row r="197" spans="1:19" x14ac:dyDescent="0.25">
      <c r="A197" s="97"/>
      <c r="B197" s="106" t="s">
        <v>328</v>
      </c>
      <c r="C197" s="98"/>
      <c r="D197" s="98"/>
      <c r="E197" s="98"/>
      <c r="F197" s="98"/>
      <c r="G197" s="98">
        <v>0</v>
      </c>
      <c r="H197" s="98"/>
      <c r="I197" s="107">
        <v>0</v>
      </c>
      <c r="J197" s="107"/>
      <c r="K197" s="94">
        <v>19.489999999999998</v>
      </c>
      <c r="L197" s="107"/>
      <c r="M197" s="95">
        <v>6.68</v>
      </c>
      <c r="N197" s="107"/>
      <c r="O197" s="95">
        <v>6.02</v>
      </c>
      <c r="P197" s="107"/>
      <c r="Q197" s="107"/>
      <c r="R197" s="107"/>
      <c r="S197" s="42">
        <f t="shared" si="37"/>
        <v>0</v>
      </c>
    </row>
    <row r="198" spans="1:19" x14ac:dyDescent="0.25">
      <c r="A198" s="108">
        <v>194</v>
      </c>
      <c r="B198" s="108" t="s">
        <v>14</v>
      </c>
      <c r="C198" s="109">
        <f>G198-D198-E198-F198</f>
        <v>78533.359999999986</v>
      </c>
      <c r="D198" s="109">
        <v>24087.59</v>
      </c>
      <c r="E198" s="109">
        <v>244182.11</v>
      </c>
      <c r="F198" s="109"/>
      <c r="G198" s="109">
        <v>346803.06</v>
      </c>
      <c r="H198" s="109">
        <f>G198*1.2</f>
        <v>416163.67199999996</v>
      </c>
      <c r="I198" s="110">
        <f>L198+N198+P198</f>
        <v>3161496.5897999993</v>
      </c>
      <c r="J198" s="111">
        <f>I198*1.2</f>
        <v>3793795.9077599989</v>
      </c>
      <c r="K198" s="101">
        <v>19.489999999999998</v>
      </c>
      <c r="L198" s="110">
        <f>C198*K198</f>
        <v>1530615.1863999995</v>
      </c>
      <c r="M198" s="103">
        <v>6.68</v>
      </c>
      <c r="N198" s="110">
        <f>D198*M198</f>
        <v>160905.1012</v>
      </c>
      <c r="O198" s="103">
        <v>6.02</v>
      </c>
      <c r="P198" s="110">
        <f>E198*O198</f>
        <v>1469976.3021999998</v>
      </c>
      <c r="Q198" s="104"/>
      <c r="R198" s="104"/>
      <c r="S198" s="42">
        <f t="shared" si="37"/>
        <v>3161496.5897999993</v>
      </c>
    </row>
    <row r="199" spans="1:19" x14ac:dyDescent="0.25">
      <c r="A199" s="108">
        <v>195</v>
      </c>
      <c r="B199" s="108" t="s">
        <v>15</v>
      </c>
      <c r="C199" s="109">
        <f t="shared" ref="C199:C262" si="38">G199-D199-E199-F199</f>
        <v>80501.760000000009</v>
      </c>
      <c r="D199" s="109">
        <v>23892.05</v>
      </c>
      <c r="E199" s="109">
        <v>262398.11</v>
      </c>
      <c r="F199" s="109"/>
      <c r="G199" s="109">
        <v>366791.92</v>
      </c>
      <c r="H199" s="109">
        <f t="shared" ref="H199:H262" si="39">G199*1.2</f>
        <v>440150.30399999995</v>
      </c>
      <c r="I199" s="110">
        <f t="shared" ref="I199:I262" si="40">L199+N199+P199</f>
        <v>3308214.8185999999</v>
      </c>
      <c r="J199" s="111">
        <f t="shared" ref="J199:J262" si="41">I199*1.2</f>
        <v>3969857.7823199998</v>
      </c>
      <c r="K199" s="101">
        <v>19.489999999999998</v>
      </c>
      <c r="L199" s="110">
        <f t="shared" ref="L199:L262" si="42">C199*K199</f>
        <v>1568979.3024000002</v>
      </c>
      <c r="M199" s="103">
        <v>6.68</v>
      </c>
      <c r="N199" s="110">
        <f t="shared" ref="N199:N262" si="43">D199*M199</f>
        <v>159598.894</v>
      </c>
      <c r="O199" s="103">
        <v>6.02</v>
      </c>
      <c r="P199" s="110">
        <f t="shared" ref="P199:P262" si="44">E199*O199</f>
        <v>1579636.6221999999</v>
      </c>
      <c r="Q199" s="104"/>
      <c r="R199" s="104"/>
      <c r="S199" s="42">
        <f t="shared" si="37"/>
        <v>3308214.8185999999</v>
      </c>
    </row>
    <row r="200" spans="1:19" ht="22.5" x14ac:dyDescent="0.25">
      <c r="A200" s="108">
        <v>196</v>
      </c>
      <c r="B200" s="108" t="s">
        <v>16</v>
      </c>
      <c r="C200" s="109">
        <f t="shared" si="38"/>
        <v>83311.929999999993</v>
      </c>
      <c r="D200" s="109">
        <v>20989</v>
      </c>
      <c r="E200" s="109">
        <v>269239.90000000002</v>
      </c>
      <c r="F200" s="109"/>
      <c r="G200" s="109">
        <v>373540.83</v>
      </c>
      <c r="H200" s="109">
        <f t="shared" si="39"/>
        <v>448248.99599999998</v>
      </c>
      <c r="I200" s="110">
        <f t="shared" si="40"/>
        <v>3384780.2336999997</v>
      </c>
      <c r="J200" s="111">
        <f t="shared" si="41"/>
        <v>4061736.2804399994</v>
      </c>
      <c r="K200" s="101">
        <v>19.489999999999998</v>
      </c>
      <c r="L200" s="110">
        <f t="shared" si="42"/>
        <v>1623749.5156999996</v>
      </c>
      <c r="M200" s="103">
        <v>6.68</v>
      </c>
      <c r="N200" s="110">
        <f t="shared" si="43"/>
        <v>140206.51999999999</v>
      </c>
      <c r="O200" s="103">
        <v>6.02</v>
      </c>
      <c r="P200" s="110">
        <f t="shared" si="44"/>
        <v>1620824.1980000001</v>
      </c>
      <c r="Q200" s="104"/>
      <c r="R200" s="104"/>
      <c r="S200" s="42">
        <f t="shared" si="37"/>
        <v>3384780.2336999997</v>
      </c>
    </row>
    <row r="201" spans="1:19" x14ac:dyDescent="0.25">
      <c r="A201" s="108">
        <v>197</v>
      </c>
      <c r="B201" s="108" t="s">
        <v>17</v>
      </c>
      <c r="C201" s="109">
        <f t="shared" si="38"/>
        <v>83322.950000000012</v>
      </c>
      <c r="D201" s="109">
        <v>23892.05</v>
      </c>
      <c r="E201" s="109">
        <v>291385.31</v>
      </c>
      <c r="F201" s="109"/>
      <c r="G201" s="109">
        <v>398600.31</v>
      </c>
      <c r="H201" s="109">
        <f t="shared" si="39"/>
        <v>478320.37199999997</v>
      </c>
      <c r="I201" s="110">
        <f t="shared" si="40"/>
        <v>3537702.7556999996</v>
      </c>
      <c r="J201" s="111">
        <f t="shared" si="41"/>
        <v>4245243.3068399997</v>
      </c>
      <c r="K201" s="101">
        <v>19.489999999999998</v>
      </c>
      <c r="L201" s="110">
        <f t="shared" si="42"/>
        <v>1623964.2955</v>
      </c>
      <c r="M201" s="103">
        <v>6.68</v>
      </c>
      <c r="N201" s="110">
        <f t="shared" si="43"/>
        <v>159598.894</v>
      </c>
      <c r="O201" s="103">
        <v>6.02</v>
      </c>
      <c r="P201" s="110">
        <f t="shared" si="44"/>
        <v>1754139.5661999998</v>
      </c>
      <c r="Q201" s="104"/>
      <c r="R201" s="104"/>
      <c r="S201" s="42">
        <f t="shared" si="37"/>
        <v>3537702.7556999996</v>
      </c>
    </row>
    <row r="202" spans="1:19" x14ac:dyDescent="0.25">
      <c r="A202" s="108">
        <v>198</v>
      </c>
      <c r="B202" s="108" t="s">
        <v>271</v>
      </c>
      <c r="C202" s="109">
        <f t="shared" si="38"/>
        <v>85936.479999999981</v>
      </c>
      <c r="D202" s="109">
        <v>24070.26</v>
      </c>
      <c r="E202" s="109">
        <v>319422.11</v>
      </c>
      <c r="F202" s="109"/>
      <c r="G202" s="109">
        <v>429428.85</v>
      </c>
      <c r="H202" s="109">
        <f t="shared" si="39"/>
        <v>515314.61999999994</v>
      </c>
      <c r="I202" s="110">
        <f t="shared" si="40"/>
        <v>3758612.4341999991</v>
      </c>
      <c r="J202" s="111">
        <f t="shared" si="41"/>
        <v>4510334.9210399985</v>
      </c>
      <c r="K202" s="101">
        <v>19.489999999999998</v>
      </c>
      <c r="L202" s="110">
        <f t="shared" si="42"/>
        <v>1674901.9951999995</v>
      </c>
      <c r="M202" s="103">
        <v>6.68</v>
      </c>
      <c r="N202" s="110">
        <f t="shared" si="43"/>
        <v>160789.33679999999</v>
      </c>
      <c r="O202" s="103">
        <v>6.02</v>
      </c>
      <c r="P202" s="110">
        <f t="shared" si="44"/>
        <v>1922921.1021999998</v>
      </c>
      <c r="Q202" s="104"/>
      <c r="R202" s="104"/>
      <c r="S202" s="42">
        <f t="shared" si="37"/>
        <v>3758612.4341999991</v>
      </c>
    </row>
    <row r="203" spans="1:19" x14ac:dyDescent="0.25">
      <c r="A203" s="108">
        <v>199</v>
      </c>
      <c r="B203" s="108" t="s">
        <v>272</v>
      </c>
      <c r="C203" s="109">
        <f t="shared" si="38"/>
        <v>11059.590000000004</v>
      </c>
      <c r="D203" s="109">
        <v>2559.7800000000002</v>
      </c>
      <c r="E203" s="109">
        <v>40017.599999999999</v>
      </c>
      <c r="F203" s="109"/>
      <c r="G203" s="109">
        <v>53636.97</v>
      </c>
      <c r="H203" s="109">
        <f t="shared" si="39"/>
        <v>64364.364000000001</v>
      </c>
      <c r="I203" s="110">
        <f t="shared" si="40"/>
        <v>473556.69150000002</v>
      </c>
      <c r="J203" s="111">
        <f t="shared" si="41"/>
        <v>568268.02980000002</v>
      </c>
      <c r="K203" s="101">
        <v>19.489999999999998</v>
      </c>
      <c r="L203" s="110">
        <f t="shared" si="42"/>
        <v>215551.40910000005</v>
      </c>
      <c r="M203" s="103">
        <v>6.68</v>
      </c>
      <c r="N203" s="110">
        <f t="shared" si="43"/>
        <v>17099.330399999999</v>
      </c>
      <c r="O203" s="103">
        <v>6.02</v>
      </c>
      <c r="P203" s="110">
        <f t="shared" si="44"/>
        <v>240905.95199999996</v>
      </c>
      <c r="Q203" s="104"/>
      <c r="R203" s="104"/>
      <c r="S203" s="42">
        <f t="shared" si="37"/>
        <v>473556.69150000002</v>
      </c>
    </row>
    <row r="204" spans="1:19" x14ac:dyDescent="0.25">
      <c r="A204" s="108">
        <v>200</v>
      </c>
      <c r="B204" s="108" t="s">
        <v>273</v>
      </c>
      <c r="C204" s="109">
        <f t="shared" si="38"/>
        <v>11351.529999999999</v>
      </c>
      <c r="D204" s="109">
        <v>2559.7800000000002</v>
      </c>
      <c r="E204" s="109">
        <v>43017.23</v>
      </c>
      <c r="F204" s="109"/>
      <c r="G204" s="109">
        <v>56928.54</v>
      </c>
      <c r="H204" s="109">
        <f t="shared" si="39"/>
        <v>68314.247999999992</v>
      </c>
      <c r="I204" s="110">
        <f t="shared" si="40"/>
        <v>497304.37469999993</v>
      </c>
      <c r="J204" s="111">
        <f t="shared" si="41"/>
        <v>596765.24963999994</v>
      </c>
      <c r="K204" s="101">
        <v>19.489999999999998</v>
      </c>
      <c r="L204" s="110">
        <f t="shared" si="42"/>
        <v>221241.31969999996</v>
      </c>
      <c r="M204" s="103">
        <v>6.68</v>
      </c>
      <c r="N204" s="110">
        <f t="shared" si="43"/>
        <v>17099.330399999999</v>
      </c>
      <c r="O204" s="103">
        <v>6.02</v>
      </c>
      <c r="P204" s="110">
        <f t="shared" si="44"/>
        <v>258963.72459999999</v>
      </c>
      <c r="Q204" s="104"/>
      <c r="R204" s="104"/>
      <c r="S204" s="42">
        <f t="shared" si="37"/>
        <v>497304.37469999993</v>
      </c>
    </row>
    <row r="205" spans="1:19" ht="22.5" x14ac:dyDescent="0.25">
      <c r="A205" s="108">
        <v>201</v>
      </c>
      <c r="B205" s="108" t="s">
        <v>274</v>
      </c>
      <c r="C205" s="109">
        <f t="shared" si="38"/>
        <v>9165.9599999999991</v>
      </c>
      <c r="D205" s="109">
        <v>2333.86</v>
      </c>
      <c r="E205" s="109">
        <v>36625.83</v>
      </c>
      <c r="F205" s="109"/>
      <c r="G205" s="109">
        <v>48125.65</v>
      </c>
      <c r="H205" s="109">
        <f t="shared" si="39"/>
        <v>57750.78</v>
      </c>
      <c r="I205" s="110">
        <f t="shared" si="40"/>
        <v>414722.24179999996</v>
      </c>
      <c r="J205" s="111">
        <f t="shared" si="41"/>
        <v>497666.69015999994</v>
      </c>
      <c r="K205" s="101">
        <v>19.489999999999998</v>
      </c>
      <c r="L205" s="110">
        <f t="shared" si="42"/>
        <v>178644.56039999996</v>
      </c>
      <c r="M205" s="103">
        <v>6.68</v>
      </c>
      <c r="N205" s="110">
        <f t="shared" si="43"/>
        <v>15590.184800000001</v>
      </c>
      <c r="O205" s="103">
        <v>6.02</v>
      </c>
      <c r="P205" s="110">
        <f t="shared" si="44"/>
        <v>220487.49659999998</v>
      </c>
      <c r="Q205" s="104"/>
      <c r="R205" s="104"/>
      <c r="S205" s="42">
        <f t="shared" si="37"/>
        <v>414722.24179999996</v>
      </c>
    </row>
    <row r="206" spans="1:19" ht="22.5" x14ac:dyDescent="0.25">
      <c r="A206" s="108">
        <v>202</v>
      </c>
      <c r="B206" s="108" t="s">
        <v>275</v>
      </c>
      <c r="C206" s="109">
        <f t="shared" si="38"/>
        <v>126490.5</v>
      </c>
      <c r="D206" s="109">
        <v>35963.879999999997</v>
      </c>
      <c r="E206" s="109">
        <v>387724.99</v>
      </c>
      <c r="F206" s="109"/>
      <c r="G206" s="109">
        <v>550179.37</v>
      </c>
      <c r="H206" s="109">
        <f t="shared" si="39"/>
        <v>660215.24399999995</v>
      </c>
      <c r="I206" s="110">
        <f t="shared" si="40"/>
        <v>5039643.0032000002</v>
      </c>
      <c r="J206" s="111">
        <f t="shared" si="41"/>
        <v>6047571.60384</v>
      </c>
      <c r="K206" s="101">
        <v>19.489999999999998</v>
      </c>
      <c r="L206" s="110">
        <f t="shared" si="42"/>
        <v>2465299.8449999997</v>
      </c>
      <c r="M206" s="103">
        <v>6.68</v>
      </c>
      <c r="N206" s="110">
        <f t="shared" si="43"/>
        <v>240238.71839999998</v>
      </c>
      <c r="O206" s="103">
        <v>6.02</v>
      </c>
      <c r="P206" s="110">
        <f t="shared" si="44"/>
        <v>2334104.4397999998</v>
      </c>
      <c r="Q206" s="104"/>
      <c r="R206" s="104"/>
      <c r="S206" s="42">
        <f t="shared" si="37"/>
        <v>5039643.0032000002</v>
      </c>
    </row>
    <row r="207" spans="1:19" ht="22.5" x14ac:dyDescent="0.25">
      <c r="A207" s="108">
        <v>203</v>
      </c>
      <c r="B207" s="108" t="s">
        <v>276</v>
      </c>
      <c r="C207" s="109">
        <f>G207-D207-E207-F207</f>
        <v>133329.05999999994</v>
      </c>
      <c r="D207" s="109">
        <v>35963.26</v>
      </c>
      <c r="E207" s="109">
        <v>458493.4</v>
      </c>
      <c r="F207" s="109"/>
      <c r="G207" s="109">
        <v>627785.72</v>
      </c>
      <c r="H207" s="109">
        <f t="shared" si="39"/>
        <v>753342.86399999994</v>
      </c>
      <c r="I207" s="110">
        <f t="shared" si="40"/>
        <v>5598948.2241999991</v>
      </c>
      <c r="J207" s="111">
        <f t="shared" si="41"/>
        <v>6718737.8690399984</v>
      </c>
      <c r="K207" s="101">
        <v>19.489999999999998</v>
      </c>
      <c r="L207" s="110">
        <f t="shared" si="42"/>
        <v>2598583.3793999986</v>
      </c>
      <c r="M207" s="103">
        <v>6.68</v>
      </c>
      <c r="N207" s="110">
        <f t="shared" si="43"/>
        <v>240234.57680000001</v>
      </c>
      <c r="O207" s="103">
        <v>6.02</v>
      </c>
      <c r="P207" s="110">
        <f t="shared" si="44"/>
        <v>2760130.2680000002</v>
      </c>
      <c r="Q207" s="104"/>
      <c r="R207" s="104"/>
      <c r="S207" s="42">
        <f t="shared" si="37"/>
        <v>5598948.2241999991</v>
      </c>
    </row>
    <row r="208" spans="1:19" ht="22.5" x14ac:dyDescent="0.25">
      <c r="A208" s="108">
        <v>204</v>
      </c>
      <c r="B208" s="108" t="s">
        <v>277</v>
      </c>
      <c r="C208" s="109">
        <f>G208-D208-E208-F208</f>
        <v>136050.28999999992</v>
      </c>
      <c r="D208" s="109">
        <v>35963.26</v>
      </c>
      <c r="E208" s="109">
        <v>486453.64</v>
      </c>
      <c r="F208" s="109"/>
      <c r="G208" s="109">
        <v>658467.18999999994</v>
      </c>
      <c r="H208" s="109">
        <f t="shared" si="39"/>
        <v>790160.62799999991</v>
      </c>
      <c r="I208" s="110">
        <f t="shared" si="40"/>
        <v>5820305.6416999977</v>
      </c>
      <c r="J208" s="111">
        <f t="shared" si="41"/>
        <v>6984366.7700399971</v>
      </c>
      <c r="K208" s="101">
        <v>19.489999999999998</v>
      </c>
      <c r="L208" s="110">
        <f t="shared" si="42"/>
        <v>2651620.1520999982</v>
      </c>
      <c r="M208" s="103">
        <v>6.68</v>
      </c>
      <c r="N208" s="110">
        <f t="shared" si="43"/>
        <v>240234.57680000001</v>
      </c>
      <c r="O208" s="103">
        <v>6.02</v>
      </c>
      <c r="P208" s="110">
        <f t="shared" si="44"/>
        <v>2928450.9128</v>
      </c>
      <c r="Q208" s="104"/>
      <c r="R208" s="104"/>
      <c r="S208" s="42">
        <f t="shared" si="37"/>
        <v>5820305.6416999977</v>
      </c>
    </row>
    <row r="209" spans="1:19" ht="22.5" x14ac:dyDescent="0.25">
      <c r="A209" s="108">
        <v>205</v>
      </c>
      <c r="B209" s="108" t="s">
        <v>18</v>
      </c>
      <c r="C209" s="109">
        <f t="shared" si="38"/>
        <v>78983.500000000029</v>
      </c>
      <c r="D209" s="109">
        <v>24934.18</v>
      </c>
      <c r="E209" s="109">
        <v>224771.71</v>
      </c>
      <c r="F209" s="109"/>
      <c r="G209" s="109">
        <v>328689.39</v>
      </c>
      <c r="H209" s="109">
        <f t="shared" si="39"/>
        <v>394427.26799999998</v>
      </c>
      <c r="I209" s="110">
        <f t="shared" si="40"/>
        <v>3059074.4316000002</v>
      </c>
      <c r="J209" s="111">
        <f t="shared" si="41"/>
        <v>3670889.3179200003</v>
      </c>
      <c r="K209" s="101">
        <v>19.489999999999998</v>
      </c>
      <c r="L209" s="110">
        <f t="shared" si="42"/>
        <v>1539388.4150000005</v>
      </c>
      <c r="M209" s="103">
        <v>6.68</v>
      </c>
      <c r="N209" s="110">
        <f t="shared" si="43"/>
        <v>166560.3224</v>
      </c>
      <c r="O209" s="103">
        <v>6.02</v>
      </c>
      <c r="P209" s="110">
        <f t="shared" si="44"/>
        <v>1353125.6941999998</v>
      </c>
      <c r="Q209" s="104"/>
      <c r="R209" s="104"/>
      <c r="S209" s="42">
        <f t="shared" si="37"/>
        <v>3059074.4316000002</v>
      </c>
    </row>
    <row r="210" spans="1:19" ht="22.5" x14ac:dyDescent="0.25">
      <c r="A210" s="108">
        <v>206</v>
      </c>
      <c r="B210" s="108" t="s">
        <v>19</v>
      </c>
      <c r="C210" s="109">
        <f t="shared" si="38"/>
        <v>108459.59999999998</v>
      </c>
      <c r="D210" s="109">
        <v>34476.57</v>
      </c>
      <c r="E210" s="109">
        <v>296945.09000000003</v>
      </c>
      <c r="F210" s="109"/>
      <c r="G210" s="109">
        <v>439881.26</v>
      </c>
      <c r="H210" s="109">
        <f t="shared" si="39"/>
        <v>527857.51199999999</v>
      </c>
      <c r="I210" s="110">
        <f t="shared" si="40"/>
        <v>4131790.5333999991</v>
      </c>
      <c r="J210" s="111">
        <f t="shared" si="41"/>
        <v>4958148.6400799984</v>
      </c>
      <c r="K210" s="101">
        <v>19.489999999999998</v>
      </c>
      <c r="L210" s="110">
        <f t="shared" si="42"/>
        <v>2113877.6039999994</v>
      </c>
      <c r="M210" s="103">
        <v>6.68</v>
      </c>
      <c r="N210" s="110">
        <f t="shared" si="43"/>
        <v>230303.48759999999</v>
      </c>
      <c r="O210" s="103">
        <v>6.02</v>
      </c>
      <c r="P210" s="110">
        <f t="shared" si="44"/>
        <v>1787609.4417999999</v>
      </c>
      <c r="Q210" s="104"/>
      <c r="R210" s="104"/>
      <c r="S210" s="42">
        <f t="shared" si="37"/>
        <v>4131790.5333999991</v>
      </c>
    </row>
    <row r="211" spans="1:19" ht="22.5" x14ac:dyDescent="0.25">
      <c r="A211" s="108">
        <v>207</v>
      </c>
      <c r="B211" s="108" t="s">
        <v>20</v>
      </c>
      <c r="C211" s="109">
        <f t="shared" si="38"/>
        <v>111158.47000000003</v>
      </c>
      <c r="D211" s="109">
        <v>34476.57</v>
      </c>
      <c r="E211" s="109">
        <v>324675.28999999998</v>
      </c>
      <c r="F211" s="109"/>
      <c r="G211" s="109">
        <v>470310.33</v>
      </c>
      <c r="H211" s="109">
        <f t="shared" si="39"/>
        <v>564372.39599999995</v>
      </c>
      <c r="I211" s="110">
        <f t="shared" si="40"/>
        <v>4351327.3136999998</v>
      </c>
      <c r="J211" s="111">
        <f t="shared" si="41"/>
        <v>5221592.7764399992</v>
      </c>
      <c r="K211" s="101">
        <v>19.489999999999998</v>
      </c>
      <c r="L211" s="110">
        <f t="shared" si="42"/>
        <v>2166478.5803000005</v>
      </c>
      <c r="M211" s="103">
        <v>6.68</v>
      </c>
      <c r="N211" s="110">
        <f t="shared" si="43"/>
        <v>230303.48759999999</v>
      </c>
      <c r="O211" s="103">
        <v>6.02</v>
      </c>
      <c r="P211" s="110">
        <f t="shared" si="44"/>
        <v>1954545.2457999997</v>
      </c>
      <c r="Q211" s="104"/>
      <c r="R211" s="104"/>
      <c r="S211" s="42">
        <f t="shared" si="37"/>
        <v>4351327.3136999998</v>
      </c>
    </row>
    <row r="212" spans="1:19" ht="22.5" x14ac:dyDescent="0.25">
      <c r="A212" s="108">
        <v>208</v>
      </c>
      <c r="B212" s="108" t="s">
        <v>278</v>
      </c>
      <c r="C212" s="109">
        <f t="shared" si="38"/>
        <v>107133.97</v>
      </c>
      <c r="D212" s="109">
        <v>29062.560000000001</v>
      </c>
      <c r="E212" s="109">
        <v>253936.04</v>
      </c>
      <c r="F212" s="109"/>
      <c r="G212" s="109">
        <v>390132.57</v>
      </c>
      <c r="H212" s="109">
        <f t="shared" si="39"/>
        <v>468159.08399999997</v>
      </c>
      <c r="I212" s="110">
        <f t="shared" si="40"/>
        <v>3810873.9369000001</v>
      </c>
      <c r="J212" s="111">
        <f t="shared" si="41"/>
        <v>4573048.7242799997</v>
      </c>
      <c r="K212" s="101">
        <v>19.489999999999998</v>
      </c>
      <c r="L212" s="110">
        <f t="shared" si="42"/>
        <v>2088041.0752999999</v>
      </c>
      <c r="M212" s="103">
        <v>6.68</v>
      </c>
      <c r="N212" s="110">
        <f t="shared" si="43"/>
        <v>194137.9008</v>
      </c>
      <c r="O212" s="103">
        <v>6.02</v>
      </c>
      <c r="P212" s="110">
        <f t="shared" si="44"/>
        <v>1528694.9608</v>
      </c>
      <c r="Q212" s="104"/>
      <c r="R212" s="104"/>
      <c r="S212" s="42">
        <f t="shared" si="37"/>
        <v>3810873.9369000001</v>
      </c>
    </row>
    <row r="213" spans="1:19" ht="22.5" x14ac:dyDescent="0.25">
      <c r="A213" s="108">
        <v>209</v>
      </c>
      <c r="B213" s="108" t="s">
        <v>279</v>
      </c>
      <c r="C213" s="109">
        <f t="shared" si="38"/>
        <v>72961.50999999998</v>
      </c>
      <c r="D213" s="109">
        <v>23554.75</v>
      </c>
      <c r="E213" s="109">
        <v>240397.96</v>
      </c>
      <c r="F213" s="109"/>
      <c r="G213" s="109">
        <v>336914.22</v>
      </c>
      <c r="H213" s="109">
        <f t="shared" si="39"/>
        <v>404297.06399999995</v>
      </c>
      <c r="I213" s="110">
        <f t="shared" si="40"/>
        <v>3026561.2790999995</v>
      </c>
      <c r="J213" s="111">
        <f t="shared" si="41"/>
        <v>3631873.5349199991</v>
      </c>
      <c r="K213" s="101">
        <v>19.489999999999998</v>
      </c>
      <c r="L213" s="110">
        <f t="shared" si="42"/>
        <v>1422019.8298999995</v>
      </c>
      <c r="M213" s="103">
        <v>6.68</v>
      </c>
      <c r="N213" s="110">
        <f t="shared" si="43"/>
        <v>157345.72999999998</v>
      </c>
      <c r="O213" s="103">
        <v>6.02</v>
      </c>
      <c r="P213" s="110">
        <f t="shared" si="44"/>
        <v>1447195.7191999999</v>
      </c>
      <c r="Q213" s="104"/>
      <c r="R213" s="104"/>
      <c r="S213" s="42">
        <f t="shared" si="37"/>
        <v>3026561.2790999995</v>
      </c>
    </row>
    <row r="214" spans="1:19" ht="22.5" x14ac:dyDescent="0.25">
      <c r="A214" s="108">
        <v>210</v>
      </c>
      <c r="B214" s="108" t="s">
        <v>21</v>
      </c>
      <c r="C214" s="109">
        <f t="shared" si="38"/>
        <v>64582.789999999979</v>
      </c>
      <c r="D214" s="109">
        <v>20120.52</v>
      </c>
      <c r="E214" s="109">
        <v>227596.56</v>
      </c>
      <c r="F214" s="109"/>
      <c r="G214" s="109">
        <v>312299.87</v>
      </c>
      <c r="H214" s="109">
        <f t="shared" si="39"/>
        <v>374759.84399999998</v>
      </c>
      <c r="I214" s="110">
        <f t="shared" si="40"/>
        <v>2763254.941899999</v>
      </c>
      <c r="J214" s="111">
        <f t="shared" si="41"/>
        <v>3315905.9302799986</v>
      </c>
      <c r="K214" s="101">
        <v>19.489999999999998</v>
      </c>
      <c r="L214" s="110">
        <f t="shared" si="42"/>
        <v>1258718.5770999994</v>
      </c>
      <c r="M214" s="103">
        <v>6.68</v>
      </c>
      <c r="N214" s="110">
        <f t="shared" si="43"/>
        <v>134405.0736</v>
      </c>
      <c r="O214" s="103">
        <v>6.02</v>
      </c>
      <c r="P214" s="110">
        <f t="shared" si="44"/>
        <v>1370131.2911999999</v>
      </c>
      <c r="Q214" s="104"/>
      <c r="R214" s="104"/>
      <c r="S214" s="42">
        <f t="shared" si="37"/>
        <v>2763254.941899999</v>
      </c>
    </row>
    <row r="215" spans="1:19" x14ac:dyDescent="0.25">
      <c r="A215" s="108">
        <v>211</v>
      </c>
      <c r="B215" s="108" t="s">
        <v>22</v>
      </c>
      <c r="C215" s="109">
        <f t="shared" si="38"/>
        <v>67781.520000000019</v>
      </c>
      <c r="D215" s="109">
        <v>22520.1</v>
      </c>
      <c r="E215" s="109">
        <v>205169.13</v>
      </c>
      <c r="F215" s="109"/>
      <c r="G215" s="109">
        <v>295470.75</v>
      </c>
      <c r="H215" s="109">
        <f t="shared" si="39"/>
        <v>354564.89999999997</v>
      </c>
      <c r="I215" s="110">
        <f t="shared" si="40"/>
        <v>2706614.2554000001</v>
      </c>
      <c r="J215" s="111">
        <f t="shared" si="41"/>
        <v>3247937.1064800001</v>
      </c>
      <c r="K215" s="101">
        <v>19.489999999999998</v>
      </c>
      <c r="L215" s="110">
        <f t="shared" si="42"/>
        <v>1321061.8248000003</v>
      </c>
      <c r="M215" s="103">
        <v>6.68</v>
      </c>
      <c r="N215" s="110">
        <f t="shared" si="43"/>
        <v>150434.26799999998</v>
      </c>
      <c r="O215" s="103">
        <v>6.02</v>
      </c>
      <c r="P215" s="110">
        <f t="shared" si="44"/>
        <v>1235118.1625999999</v>
      </c>
      <c r="Q215" s="104"/>
      <c r="R215" s="104"/>
      <c r="S215" s="42">
        <f t="shared" si="37"/>
        <v>2706614.2554000001</v>
      </c>
    </row>
    <row r="216" spans="1:19" ht="22.5" x14ac:dyDescent="0.25">
      <c r="A216" s="108">
        <v>212</v>
      </c>
      <c r="B216" s="108" t="s">
        <v>23</v>
      </c>
      <c r="C216" s="109">
        <f t="shared" si="38"/>
        <v>49451.679999999993</v>
      </c>
      <c r="D216" s="109">
        <v>18480.48</v>
      </c>
      <c r="E216" s="109">
        <v>184122.71</v>
      </c>
      <c r="F216" s="109"/>
      <c r="G216" s="109">
        <v>252054.87</v>
      </c>
      <c r="H216" s="109">
        <f t="shared" si="39"/>
        <v>302465.84399999998</v>
      </c>
      <c r="I216" s="110">
        <f t="shared" si="40"/>
        <v>2195681.5637999997</v>
      </c>
      <c r="J216" s="111">
        <f t="shared" si="41"/>
        <v>2634817.8765599993</v>
      </c>
      <c r="K216" s="101">
        <v>19.489999999999998</v>
      </c>
      <c r="L216" s="110">
        <f t="shared" si="42"/>
        <v>963813.24319999979</v>
      </c>
      <c r="M216" s="103">
        <v>6.68</v>
      </c>
      <c r="N216" s="110">
        <f t="shared" si="43"/>
        <v>123449.60639999999</v>
      </c>
      <c r="O216" s="103">
        <v>6.02</v>
      </c>
      <c r="P216" s="110">
        <f t="shared" si="44"/>
        <v>1108418.7141999998</v>
      </c>
      <c r="Q216" s="104"/>
      <c r="R216" s="104"/>
      <c r="S216" s="42">
        <f t="shared" si="37"/>
        <v>2195681.5637999997</v>
      </c>
    </row>
    <row r="217" spans="1:19" x14ac:dyDescent="0.25">
      <c r="A217" s="108">
        <v>213</v>
      </c>
      <c r="B217" s="108" t="s">
        <v>24</v>
      </c>
      <c r="C217" s="109">
        <f t="shared" si="38"/>
        <v>65797.689999999973</v>
      </c>
      <c r="D217" s="109">
        <v>22725.26</v>
      </c>
      <c r="E217" s="109">
        <v>183169.53</v>
      </c>
      <c r="F217" s="109"/>
      <c r="G217" s="109">
        <v>271692.48</v>
      </c>
      <c r="H217" s="109">
        <f t="shared" si="39"/>
        <v>326030.97599999997</v>
      </c>
      <c r="I217" s="110">
        <f t="shared" si="40"/>
        <v>2536882.2854999993</v>
      </c>
      <c r="J217" s="111">
        <f t="shared" si="41"/>
        <v>3044258.7425999991</v>
      </c>
      <c r="K217" s="101">
        <v>19.489999999999998</v>
      </c>
      <c r="L217" s="110">
        <f t="shared" si="42"/>
        <v>1282396.9780999995</v>
      </c>
      <c r="M217" s="103">
        <v>6.68</v>
      </c>
      <c r="N217" s="110">
        <f t="shared" si="43"/>
        <v>151804.73679999998</v>
      </c>
      <c r="O217" s="103">
        <v>6.02</v>
      </c>
      <c r="P217" s="110">
        <f t="shared" si="44"/>
        <v>1102680.5706</v>
      </c>
      <c r="Q217" s="104"/>
      <c r="R217" s="104"/>
      <c r="S217" s="42">
        <f t="shared" si="37"/>
        <v>2536882.2854999993</v>
      </c>
    </row>
    <row r="218" spans="1:19" x14ac:dyDescent="0.25">
      <c r="A218" s="108">
        <v>214</v>
      </c>
      <c r="B218" s="108" t="s">
        <v>25</v>
      </c>
      <c r="C218" s="109">
        <f t="shared" si="38"/>
        <v>68234.479999999952</v>
      </c>
      <c r="D218" s="109">
        <v>22749.53</v>
      </c>
      <c r="E218" s="109">
        <v>205463.09</v>
      </c>
      <c r="F218" s="109"/>
      <c r="G218" s="109">
        <v>296447.09999999998</v>
      </c>
      <c r="H218" s="109">
        <f t="shared" si="39"/>
        <v>355736.51999999996</v>
      </c>
      <c r="I218" s="110">
        <f t="shared" si="40"/>
        <v>2718744.6773999985</v>
      </c>
      <c r="J218" s="111">
        <f t="shared" si="41"/>
        <v>3262493.6128799981</v>
      </c>
      <c r="K218" s="101">
        <v>19.489999999999998</v>
      </c>
      <c r="L218" s="110">
        <f t="shared" si="42"/>
        <v>1329890.0151999989</v>
      </c>
      <c r="M218" s="103">
        <v>6.68</v>
      </c>
      <c r="N218" s="110">
        <f t="shared" si="43"/>
        <v>151966.86039999998</v>
      </c>
      <c r="O218" s="103">
        <v>6.02</v>
      </c>
      <c r="P218" s="110">
        <f t="shared" si="44"/>
        <v>1236887.8017999998</v>
      </c>
      <c r="Q218" s="104"/>
      <c r="R218" s="104"/>
      <c r="S218" s="42">
        <f t="shared" si="37"/>
        <v>2718744.6773999985</v>
      </c>
    </row>
    <row r="219" spans="1:19" x14ac:dyDescent="0.25">
      <c r="A219" s="108">
        <v>215</v>
      </c>
      <c r="B219" s="108" t="s">
        <v>26</v>
      </c>
      <c r="C219" s="109">
        <f t="shared" si="38"/>
        <v>72025.01999999999</v>
      </c>
      <c r="D219" s="109">
        <v>22636.76</v>
      </c>
      <c r="E219" s="109">
        <v>245406.27</v>
      </c>
      <c r="F219" s="109"/>
      <c r="G219" s="109">
        <v>340068.05</v>
      </c>
      <c r="H219" s="109">
        <f t="shared" si="39"/>
        <v>408081.66</v>
      </c>
      <c r="I219" s="110">
        <f t="shared" si="40"/>
        <v>3032326.9419999998</v>
      </c>
      <c r="J219" s="111">
        <f t="shared" si="41"/>
        <v>3638792.3303999999</v>
      </c>
      <c r="K219" s="101">
        <v>19.489999999999998</v>
      </c>
      <c r="L219" s="110">
        <f t="shared" si="42"/>
        <v>1403767.6397999998</v>
      </c>
      <c r="M219" s="103">
        <v>6.68</v>
      </c>
      <c r="N219" s="110">
        <f t="shared" si="43"/>
        <v>151213.55679999999</v>
      </c>
      <c r="O219" s="103">
        <v>6.02</v>
      </c>
      <c r="P219" s="110">
        <f t="shared" si="44"/>
        <v>1477345.7453999999</v>
      </c>
      <c r="Q219" s="104"/>
      <c r="R219" s="104"/>
      <c r="S219" s="42">
        <f t="shared" si="37"/>
        <v>3032326.9419999998</v>
      </c>
    </row>
    <row r="220" spans="1:19" ht="22.5" x14ac:dyDescent="0.25">
      <c r="A220" s="108">
        <v>216</v>
      </c>
      <c r="B220" s="108" t="s">
        <v>280</v>
      </c>
      <c r="C220" s="109">
        <f t="shared" si="38"/>
        <v>26018.650000000009</v>
      </c>
      <c r="D220" s="109">
        <v>6111.55</v>
      </c>
      <c r="E220" s="109">
        <v>125988.14</v>
      </c>
      <c r="F220" s="109"/>
      <c r="G220" s="109">
        <v>158118.34</v>
      </c>
      <c r="H220" s="109">
        <f t="shared" si="39"/>
        <v>189742.008</v>
      </c>
      <c r="I220" s="110">
        <f t="shared" si="40"/>
        <v>1306377.2453000001</v>
      </c>
      <c r="J220" s="111">
        <f t="shared" si="41"/>
        <v>1567652.6943600001</v>
      </c>
      <c r="K220" s="101">
        <v>19.489999999999998</v>
      </c>
      <c r="L220" s="110">
        <f t="shared" si="42"/>
        <v>507103.48850000015</v>
      </c>
      <c r="M220" s="103">
        <v>6.68</v>
      </c>
      <c r="N220" s="110">
        <f t="shared" si="43"/>
        <v>40825.154000000002</v>
      </c>
      <c r="O220" s="103">
        <v>6.02</v>
      </c>
      <c r="P220" s="110">
        <f t="shared" si="44"/>
        <v>758448.60279999999</v>
      </c>
      <c r="Q220" s="104"/>
      <c r="R220" s="104"/>
      <c r="S220" s="42">
        <f t="shared" si="37"/>
        <v>1306377.2453000001</v>
      </c>
    </row>
    <row r="221" spans="1:19" ht="22.5" x14ac:dyDescent="0.25">
      <c r="A221" s="108">
        <v>217</v>
      </c>
      <c r="B221" s="108" t="s">
        <v>281</v>
      </c>
      <c r="C221" s="109">
        <f t="shared" si="38"/>
        <v>20984.460000000006</v>
      </c>
      <c r="D221" s="109">
        <v>6123.78</v>
      </c>
      <c r="E221" s="109">
        <v>72919</v>
      </c>
      <c r="F221" s="109"/>
      <c r="G221" s="109">
        <v>100027.24</v>
      </c>
      <c r="H221" s="109">
        <f t="shared" si="39"/>
        <v>120032.68799999999</v>
      </c>
      <c r="I221" s="110">
        <f t="shared" si="40"/>
        <v>888866.35580000002</v>
      </c>
      <c r="J221" s="111">
        <f t="shared" si="41"/>
        <v>1066639.62696</v>
      </c>
      <c r="K221" s="101">
        <v>19.489999999999998</v>
      </c>
      <c r="L221" s="110">
        <f t="shared" si="42"/>
        <v>408987.12540000008</v>
      </c>
      <c r="M221" s="103">
        <v>6.68</v>
      </c>
      <c r="N221" s="110">
        <f t="shared" si="43"/>
        <v>40906.850399999996</v>
      </c>
      <c r="O221" s="103">
        <v>6.02</v>
      </c>
      <c r="P221" s="110">
        <f t="shared" si="44"/>
        <v>438972.37999999995</v>
      </c>
      <c r="Q221" s="104"/>
      <c r="R221" s="104"/>
      <c r="S221" s="42">
        <f t="shared" si="37"/>
        <v>888866.35580000002</v>
      </c>
    </row>
    <row r="222" spans="1:19" x14ac:dyDescent="0.25">
      <c r="A222" s="108">
        <v>218</v>
      </c>
      <c r="B222" s="108" t="s">
        <v>27</v>
      </c>
      <c r="C222" s="109">
        <f t="shared" si="38"/>
        <v>93764.590000000026</v>
      </c>
      <c r="D222" s="109">
        <v>30646.92</v>
      </c>
      <c r="E222" s="109">
        <v>167132.74</v>
      </c>
      <c r="F222" s="109"/>
      <c r="G222" s="109">
        <v>291544.25</v>
      </c>
      <c r="H222" s="109">
        <f t="shared" si="39"/>
        <v>349853.1</v>
      </c>
      <c r="I222" s="110">
        <f t="shared" si="40"/>
        <v>3038332.3795000003</v>
      </c>
      <c r="J222" s="111">
        <f t="shared" si="41"/>
        <v>3645998.8554000002</v>
      </c>
      <c r="K222" s="101">
        <v>19.489999999999998</v>
      </c>
      <c r="L222" s="110">
        <f t="shared" si="42"/>
        <v>1827471.8591000005</v>
      </c>
      <c r="M222" s="103">
        <v>6.68</v>
      </c>
      <c r="N222" s="110">
        <f t="shared" si="43"/>
        <v>204721.42559999999</v>
      </c>
      <c r="O222" s="103">
        <v>6.02</v>
      </c>
      <c r="P222" s="110">
        <f t="shared" si="44"/>
        <v>1006139.0947999998</v>
      </c>
      <c r="Q222" s="104"/>
      <c r="R222" s="104"/>
      <c r="S222" s="42">
        <f t="shared" si="37"/>
        <v>3038332.3795000003</v>
      </c>
    </row>
    <row r="223" spans="1:19" x14ac:dyDescent="0.25">
      <c r="A223" s="108">
        <v>219</v>
      </c>
      <c r="B223" s="108" t="s">
        <v>28</v>
      </c>
      <c r="C223" s="109">
        <f t="shared" si="38"/>
        <v>98701.550000000017</v>
      </c>
      <c r="D223" s="109">
        <v>31316.71</v>
      </c>
      <c r="E223" s="109">
        <v>229613.77</v>
      </c>
      <c r="F223" s="109"/>
      <c r="G223" s="109">
        <v>359632.03</v>
      </c>
      <c r="H223" s="109">
        <f t="shared" si="39"/>
        <v>431558.43600000005</v>
      </c>
      <c r="I223" s="110">
        <f t="shared" si="40"/>
        <v>3515163.7276999997</v>
      </c>
      <c r="J223" s="111">
        <f t="shared" si="41"/>
        <v>4218196.4732399993</v>
      </c>
      <c r="K223" s="101">
        <v>19.489999999999998</v>
      </c>
      <c r="L223" s="110">
        <f t="shared" si="42"/>
        <v>1923693.2095000001</v>
      </c>
      <c r="M223" s="103">
        <v>6.68</v>
      </c>
      <c r="N223" s="110">
        <f t="shared" si="43"/>
        <v>209195.62279999998</v>
      </c>
      <c r="O223" s="103">
        <v>6.02</v>
      </c>
      <c r="P223" s="110">
        <f t="shared" si="44"/>
        <v>1382274.8953999998</v>
      </c>
      <c r="Q223" s="104"/>
      <c r="R223" s="104"/>
      <c r="S223" s="42">
        <f t="shared" si="37"/>
        <v>3515163.7276999997</v>
      </c>
    </row>
    <row r="224" spans="1:19" x14ac:dyDescent="0.25">
      <c r="A224" s="108">
        <v>220</v>
      </c>
      <c r="B224" s="108" t="s">
        <v>282</v>
      </c>
      <c r="C224" s="109">
        <f t="shared" si="38"/>
        <v>99494.409999999974</v>
      </c>
      <c r="D224" s="109">
        <v>31388.59</v>
      </c>
      <c r="E224" s="109">
        <v>237528.19</v>
      </c>
      <c r="F224" s="109"/>
      <c r="G224" s="109">
        <v>368411.19</v>
      </c>
      <c r="H224" s="109">
        <f t="shared" si="39"/>
        <v>442093.42800000001</v>
      </c>
      <c r="I224" s="110">
        <f t="shared" si="40"/>
        <v>3578741.5358999996</v>
      </c>
      <c r="J224" s="111">
        <f t="shared" si="41"/>
        <v>4294489.8430799991</v>
      </c>
      <c r="K224" s="101">
        <v>19.489999999999998</v>
      </c>
      <c r="L224" s="110">
        <f t="shared" si="42"/>
        <v>1939146.0508999994</v>
      </c>
      <c r="M224" s="103">
        <v>6.68</v>
      </c>
      <c r="N224" s="110">
        <f t="shared" si="43"/>
        <v>209675.7812</v>
      </c>
      <c r="O224" s="103">
        <v>6.02</v>
      </c>
      <c r="P224" s="110">
        <f t="shared" si="44"/>
        <v>1429919.7038</v>
      </c>
      <c r="Q224" s="104"/>
      <c r="R224" s="104"/>
      <c r="S224" s="42">
        <f t="shared" si="37"/>
        <v>3578741.5358999996</v>
      </c>
    </row>
    <row r="225" spans="1:19" ht="22.5" x14ac:dyDescent="0.25">
      <c r="A225" s="108">
        <v>221</v>
      </c>
      <c r="B225" s="108" t="s">
        <v>283</v>
      </c>
      <c r="C225" s="109">
        <f t="shared" si="38"/>
        <v>4083.67</v>
      </c>
      <c r="D225" s="109">
        <v>120.8</v>
      </c>
      <c r="E225" s="109">
        <v>10261.1</v>
      </c>
      <c r="F225" s="109"/>
      <c r="G225" s="109">
        <v>14465.57</v>
      </c>
      <c r="H225" s="109">
        <f t="shared" si="39"/>
        <v>17358.683999999997</v>
      </c>
      <c r="I225" s="110">
        <f t="shared" si="40"/>
        <v>142169.49429999999</v>
      </c>
      <c r="J225" s="111">
        <f t="shared" si="41"/>
        <v>170603.39315999998</v>
      </c>
      <c r="K225" s="101">
        <v>19.489999999999998</v>
      </c>
      <c r="L225" s="110">
        <f t="shared" si="42"/>
        <v>79590.728299999988</v>
      </c>
      <c r="M225" s="103">
        <v>6.68</v>
      </c>
      <c r="N225" s="110">
        <f t="shared" si="43"/>
        <v>806.94399999999996</v>
      </c>
      <c r="O225" s="103">
        <v>6.02</v>
      </c>
      <c r="P225" s="110">
        <f t="shared" si="44"/>
        <v>61771.822</v>
      </c>
      <c r="Q225" s="104"/>
      <c r="R225" s="104"/>
      <c r="S225" s="42">
        <f t="shared" si="37"/>
        <v>142169.49429999999</v>
      </c>
    </row>
    <row r="226" spans="1:19" ht="22.5" x14ac:dyDescent="0.25">
      <c r="A226" s="108">
        <v>222</v>
      </c>
      <c r="B226" s="108" t="s">
        <v>284</v>
      </c>
      <c r="C226" s="109">
        <f t="shared" si="38"/>
        <v>71397.900000000023</v>
      </c>
      <c r="D226" s="109">
        <v>11855.69</v>
      </c>
      <c r="E226" s="109">
        <v>290678.74</v>
      </c>
      <c r="F226" s="109"/>
      <c r="G226" s="109">
        <v>373932.33</v>
      </c>
      <c r="H226" s="109">
        <f t="shared" si="39"/>
        <v>448718.79600000003</v>
      </c>
      <c r="I226" s="110">
        <f t="shared" si="40"/>
        <v>3220627.0949999997</v>
      </c>
      <c r="J226" s="111">
        <f t="shared" si="41"/>
        <v>3864752.5139999995</v>
      </c>
      <c r="K226" s="101">
        <v>19.489999999999998</v>
      </c>
      <c r="L226" s="110">
        <f t="shared" si="42"/>
        <v>1391545.0710000002</v>
      </c>
      <c r="M226" s="103">
        <v>6.68</v>
      </c>
      <c r="N226" s="110">
        <f t="shared" si="43"/>
        <v>79196.0092</v>
      </c>
      <c r="O226" s="103">
        <v>6.02</v>
      </c>
      <c r="P226" s="110">
        <f t="shared" si="44"/>
        <v>1749886.0147999998</v>
      </c>
      <c r="Q226" s="104"/>
      <c r="R226" s="104"/>
      <c r="S226" s="42">
        <f t="shared" si="37"/>
        <v>3220627.0949999997</v>
      </c>
    </row>
    <row r="227" spans="1:19" x14ac:dyDescent="0.25">
      <c r="A227" s="108">
        <v>223</v>
      </c>
      <c r="B227" s="108" t="s">
        <v>285</v>
      </c>
      <c r="C227" s="109">
        <f t="shared" si="38"/>
        <v>46615.619999999995</v>
      </c>
      <c r="D227" s="109">
        <v>9944.01</v>
      </c>
      <c r="E227" s="109">
        <v>170324.36</v>
      </c>
      <c r="F227" s="109"/>
      <c r="G227" s="109">
        <v>226883.99</v>
      </c>
      <c r="H227" s="109">
        <f t="shared" si="39"/>
        <v>272260.788</v>
      </c>
      <c r="I227" s="110">
        <f t="shared" si="40"/>
        <v>2000317.0677999998</v>
      </c>
      <c r="J227" s="111">
        <f t="shared" si="41"/>
        <v>2400380.4813599996</v>
      </c>
      <c r="K227" s="101">
        <v>19.489999999999998</v>
      </c>
      <c r="L227" s="110">
        <f t="shared" si="42"/>
        <v>908538.43379999988</v>
      </c>
      <c r="M227" s="103">
        <v>6.68</v>
      </c>
      <c r="N227" s="110">
        <f t="shared" si="43"/>
        <v>66425.986799999999</v>
      </c>
      <c r="O227" s="103">
        <v>6.02</v>
      </c>
      <c r="P227" s="110">
        <f t="shared" si="44"/>
        <v>1025352.6471999999</v>
      </c>
      <c r="Q227" s="104"/>
      <c r="R227" s="104"/>
      <c r="S227" s="42">
        <f t="shared" si="37"/>
        <v>2000317.0677999998</v>
      </c>
    </row>
    <row r="228" spans="1:19" ht="22.5" x14ac:dyDescent="0.25">
      <c r="A228" s="108">
        <v>224</v>
      </c>
      <c r="B228" s="108" t="s">
        <v>286</v>
      </c>
      <c r="C228" s="109">
        <f t="shared" si="38"/>
        <v>45526.119999999995</v>
      </c>
      <c r="D228" s="109">
        <v>8633.2199999999993</v>
      </c>
      <c r="E228" s="109">
        <v>172109.56</v>
      </c>
      <c r="F228" s="109"/>
      <c r="G228" s="109">
        <v>226268.9</v>
      </c>
      <c r="H228" s="109">
        <f t="shared" si="39"/>
        <v>271522.68</v>
      </c>
      <c r="I228" s="110">
        <f t="shared" si="40"/>
        <v>1981073.5395999998</v>
      </c>
      <c r="J228" s="111">
        <f t="shared" si="41"/>
        <v>2377288.2475199997</v>
      </c>
      <c r="K228" s="101">
        <v>19.489999999999998</v>
      </c>
      <c r="L228" s="110">
        <f t="shared" si="42"/>
        <v>887304.07879999978</v>
      </c>
      <c r="M228" s="103">
        <v>6.68</v>
      </c>
      <c r="N228" s="110">
        <f t="shared" si="43"/>
        <v>57669.909599999992</v>
      </c>
      <c r="O228" s="103">
        <v>6.02</v>
      </c>
      <c r="P228" s="110">
        <f t="shared" si="44"/>
        <v>1036099.5511999999</v>
      </c>
      <c r="Q228" s="104"/>
      <c r="R228" s="104"/>
      <c r="S228" s="42">
        <f t="shared" si="37"/>
        <v>1981073.5395999998</v>
      </c>
    </row>
    <row r="229" spans="1:19" x14ac:dyDescent="0.25">
      <c r="A229" s="108">
        <v>225</v>
      </c>
      <c r="B229" s="108" t="s">
        <v>287</v>
      </c>
      <c r="C229" s="109">
        <f t="shared" si="38"/>
        <v>585.91</v>
      </c>
      <c r="D229" s="109">
        <v>155.19999999999999</v>
      </c>
      <c r="E229" s="109">
        <v>928.08</v>
      </c>
      <c r="F229" s="109"/>
      <c r="G229" s="109">
        <v>1669.19</v>
      </c>
      <c r="H229" s="109">
        <f t="shared" si="39"/>
        <v>2003.028</v>
      </c>
      <c r="I229" s="110">
        <f t="shared" si="40"/>
        <v>18043.163499999999</v>
      </c>
      <c r="J229" s="111">
        <f t="shared" si="41"/>
        <v>21651.796199999997</v>
      </c>
      <c r="K229" s="101">
        <v>19.489999999999998</v>
      </c>
      <c r="L229" s="110">
        <f t="shared" si="42"/>
        <v>11419.385899999999</v>
      </c>
      <c r="M229" s="103">
        <v>6.68</v>
      </c>
      <c r="N229" s="110">
        <f t="shared" si="43"/>
        <v>1036.7359999999999</v>
      </c>
      <c r="O229" s="103">
        <v>6.02</v>
      </c>
      <c r="P229" s="110">
        <f t="shared" si="44"/>
        <v>5587.0415999999996</v>
      </c>
      <c r="Q229" s="104"/>
      <c r="R229" s="104"/>
      <c r="S229" s="42">
        <f t="shared" si="37"/>
        <v>18043.163499999999</v>
      </c>
    </row>
    <row r="230" spans="1:19" x14ac:dyDescent="0.25">
      <c r="A230" s="108">
        <v>226</v>
      </c>
      <c r="B230" s="108" t="s">
        <v>288</v>
      </c>
      <c r="C230" s="109">
        <f t="shared" si="38"/>
        <v>358.22</v>
      </c>
      <c r="D230" s="109">
        <v>84.81</v>
      </c>
      <c r="E230" s="109">
        <v>632.28</v>
      </c>
      <c r="F230" s="109"/>
      <c r="G230" s="109">
        <v>1075.31</v>
      </c>
      <c r="H230" s="109">
        <f t="shared" si="39"/>
        <v>1290.3719999999998</v>
      </c>
      <c r="I230" s="110">
        <f t="shared" si="40"/>
        <v>11354.564200000001</v>
      </c>
      <c r="J230" s="111">
        <f t="shared" si="41"/>
        <v>13625.47704</v>
      </c>
      <c r="K230" s="101">
        <v>19.489999999999998</v>
      </c>
      <c r="L230" s="110">
        <f t="shared" si="42"/>
        <v>6981.7078000000001</v>
      </c>
      <c r="M230" s="103">
        <v>6.68</v>
      </c>
      <c r="N230" s="110">
        <f t="shared" si="43"/>
        <v>566.5308</v>
      </c>
      <c r="O230" s="103">
        <v>6.02</v>
      </c>
      <c r="P230" s="110">
        <f t="shared" si="44"/>
        <v>3806.3255999999997</v>
      </c>
      <c r="Q230" s="104"/>
      <c r="R230" s="104"/>
      <c r="S230" s="42">
        <f t="shared" si="37"/>
        <v>11354.564200000001</v>
      </c>
    </row>
    <row r="231" spans="1:19" x14ac:dyDescent="0.25">
      <c r="A231" s="108">
        <v>227</v>
      </c>
      <c r="B231" s="108" t="s">
        <v>289</v>
      </c>
      <c r="C231" s="109">
        <f t="shared" si="38"/>
        <v>617.66999999999985</v>
      </c>
      <c r="D231" s="109">
        <v>155.19999999999999</v>
      </c>
      <c r="E231" s="109">
        <v>1174.68</v>
      </c>
      <c r="F231" s="109"/>
      <c r="G231" s="109">
        <v>1947.55</v>
      </c>
      <c r="H231" s="109">
        <f t="shared" si="39"/>
        <v>2337.06</v>
      </c>
      <c r="I231" s="110">
        <f t="shared" si="40"/>
        <v>20146.697899999996</v>
      </c>
      <c r="J231" s="111">
        <f t="shared" si="41"/>
        <v>24176.037479999995</v>
      </c>
      <c r="K231" s="101">
        <v>19.489999999999998</v>
      </c>
      <c r="L231" s="110">
        <f t="shared" si="42"/>
        <v>12038.388299999997</v>
      </c>
      <c r="M231" s="103">
        <v>6.68</v>
      </c>
      <c r="N231" s="110">
        <f t="shared" si="43"/>
        <v>1036.7359999999999</v>
      </c>
      <c r="O231" s="103">
        <v>6.02</v>
      </c>
      <c r="P231" s="110">
        <f t="shared" si="44"/>
        <v>7071.5735999999997</v>
      </c>
      <c r="Q231" s="104"/>
      <c r="R231" s="104"/>
      <c r="S231" s="42">
        <f t="shared" si="37"/>
        <v>20146.697899999996</v>
      </c>
    </row>
    <row r="232" spans="1:19" x14ac:dyDescent="0.25">
      <c r="A232" s="108">
        <v>228</v>
      </c>
      <c r="B232" s="108" t="s">
        <v>29</v>
      </c>
      <c r="C232" s="109">
        <f t="shared" si="38"/>
        <v>99874.149999999965</v>
      </c>
      <c r="D232" s="109">
        <v>31388.59</v>
      </c>
      <c r="E232" s="109">
        <v>246558.64</v>
      </c>
      <c r="F232" s="109"/>
      <c r="G232" s="109">
        <v>377821.38</v>
      </c>
      <c r="H232" s="109">
        <f t="shared" si="39"/>
        <v>453385.65600000002</v>
      </c>
      <c r="I232" s="110">
        <f t="shared" si="40"/>
        <v>3640505.9774999991</v>
      </c>
      <c r="J232" s="111">
        <f t="shared" si="41"/>
        <v>4368607.1729999986</v>
      </c>
      <c r="K232" s="101">
        <v>19.489999999999998</v>
      </c>
      <c r="L232" s="110">
        <f t="shared" si="42"/>
        <v>1946547.1834999991</v>
      </c>
      <c r="M232" s="103">
        <v>6.68</v>
      </c>
      <c r="N232" s="110">
        <f t="shared" si="43"/>
        <v>209675.7812</v>
      </c>
      <c r="O232" s="103">
        <v>6.02</v>
      </c>
      <c r="P232" s="110">
        <f t="shared" si="44"/>
        <v>1484283.0127999999</v>
      </c>
      <c r="Q232" s="104"/>
      <c r="R232" s="104"/>
      <c r="S232" s="42">
        <f t="shared" si="37"/>
        <v>3640505.9774999991</v>
      </c>
    </row>
    <row r="233" spans="1:19" x14ac:dyDescent="0.25">
      <c r="A233" s="108">
        <v>229</v>
      </c>
      <c r="B233" s="108" t="s">
        <v>30</v>
      </c>
      <c r="C233" s="109">
        <f t="shared" si="38"/>
        <v>96986.179999999964</v>
      </c>
      <c r="D233" s="109">
        <v>31388.27</v>
      </c>
      <c r="E233" s="109">
        <v>217053.41</v>
      </c>
      <c r="F233" s="109"/>
      <c r="G233" s="109">
        <v>345427.86</v>
      </c>
      <c r="H233" s="109">
        <f t="shared" si="39"/>
        <v>414513.43199999997</v>
      </c>
      <c r="I233" s="110">
        <f t="shared" si="40"/>
        <v>3406595.8199999994</v>
      </c>
      <c r="J233" s="111">
        <f t="shared" si="41"/>
        <v>4087914.9839999992</v>
      </c>
      <c r="K233" s="101">
        <v>19.489999999999998</v>
      </c>
      <c r="L233" s="110">
        <f t="shared" si="42"/>
        <v>1890260.6481999992</v>
      </c>
      <c r="M233" s="103">
        <v>6.68</v>
      </c>
      <c r="N233" s="110">
        <f t="shared" si="43"/>
        <v>209673.64359999998</v>
      </c>
      <c r="O233" s="103">
        <v>6.02</v>
      </c>
      <c r="P233" s="110">
        <f t="shared" si="44"/>
        <v>1306661.5281999998</v>
      </c>
      <c r="Q233" s="104"/>
      <c r="R233" s="104"/>
      <c r="S233" s="42">
        <f t="shared" si="37"/>
        <v>3406595.8199999994</v>
      </c>
    </row>
    <row r="234" spans="1:19" x14ac:dyDescent="0.25">
      <c r="A234" s="108">
        <v>230</v>
      </c>
      <c r="B234" s="108" t="s">
        <v>31</v>
      </c>
      <c r="C234" s="109">
        <f t="shared" si="38"/>
        <v>98089.38</v>
      </c>
      <c r="D234" s="109">
        <v>32009.39</v>
      </c>
      <c r="E234" s="109">
        <v>212517.19</v>
      </c>
      <c r="F234" s="109"/>
      <c r="G234" s="109">
        <v>342615.96</v>
      </c>
      <c r="H234" s="109">
        <f t="shared" si="39"/>
        <v>411139.152</v>
      </c>
      <c r="I234" s="110">
        <f t="shared" si="40"/>
        <v>3404938.2251999993</v>
      </c>
      <c r="J234" s="111">
        <f t="shared" si="41"/>
        <v>4085925.8702399991</v>
      </c>
      <c r="K234" s="101">
        <v>19.489999999999998</v>
      </c>
      <c r="L234" s="110">
        <f t="shared" si="42"/>
        <v>1911762.0162</v>
      </c>
      <c r="M234" s="103">
        <v>6.68</v>
      </c>
      <c r="N234" s="110">
        <f t="shared" si="43"/>
        <v>213822.72519999999</v>
      </c>
      <c r="O234" s="103">
        <v>6.02</v>
      </c>
      <c r="P234" s="110">
        <f t="shared" si="44"/>
        <v>1279353.4837999998</v>
      </c>
      <c r="Q234" s="104"/>
      <c r="R234" s="104"/>
      <c r="S234" s="42">
        <f t="shared" si="37"/>
        <v>3404938.2251999993</v>
      </c>
    </row>
    <row r="235" spans="1:19" x14ac:dyDescent="0.25">
      <c r="A235" s="108">
        <v>231</v>
      </c>
      <c r="B235" s="108" t="s">
        <v>32</v>
      </c>
      <c r="C235" s="109">
        <f t="shared" si="38"/>
        <v>95438.129999999946</v>
      </c>
      <c r="D235" s="109">
        <v>31388.59</v>
      </c>
      <c r="E235" s="109">
        <v>201069.69</v>
      </c>
      <c r="F235" s="109"/>
      <c r="G235" s="109">
        <v>327896.40999999997</v>
      </c>
      <c r="H235" s="109">
        <f t="shared" si="39"/>
        <v>393475.69199999998</v>
      </c>
      <c r="I235" s="110">
        <f t="shared" si="40"/>
        <v>3280204.4686999987</v>
      </c>
      <c r="J235" s="111">
        <f t="shared" si="41"/>
        <v>3936245.3624399984</v>
      </c>
      <c r="K235" s="101">
        <v>19.489999999999998</v>
      </c>
      <c r="L235" s="110">
        <f t="shared" si="42"/>
        <v>1860089.1536999987</v>
      </c>
      <c r="M235" s="103">
        <v>6.68</v>
      </c>
      <c r="N235" s="110">
        <f t="shared" si="43"/>
        <v>209675.7812</v>
      </c>
      <c r="O235" s="103">
        <v>6.02</v>
      </c>
      <c r="P235" s="110">
        <f t="shared" si="44"/>
        <v>1210439.5337999999</v>
      </c>
      <c r="Q235" s="104"/>
      <c r="R235" s="104"/>
      <c r="S235" s="42">
        <f t="shared" si="37"/>
        <v>3280204.4686999987</v>
      </c>
    </row>
    <row r="236" spans="1:19" x14ac:dyDescent="0.25">
      <c r="A236" s="108">
        <v>232</v>
      </c>
      <c r="B236" s="108" t="s">
        <v>33</v>
      </c>
      <c r="C236" s="109">
        <f t="shared" si="38"/>
        <v>94406.720000000001</v>
      </c>
      <c r="D236" s="109">
        <v>31388.27</v>
      </c>
      <c r="E236" s="109">
        <v>185962.91</v>
      </c>
      <c r="F236" s="109"/>
      <c r="G236" s="109">
        <v>311757.90000000002</v>
      </c>
      <c r="H236" s="109">
        <f t="shared" si="39"/>
        <v>374109.48000000004</v>
      </c>
      <c r="I236" s="110">
        <f t="shared" si="40"/>
        <v>3169157.3345999997</v>
      </c>
      <c r="J236" s="111">
        <f t="shared" si="41"/>
        <v>3802988.8015199993</v>
      </c>
      <c r="K236" s="101">
        <v>19.489999999999998</v>
      </c>
      <c r="L236" s="110">
        <f t="shared" si="42"/>
        <v>1839986.9727999999</v>
      </c>
      <c r="M236" s="103">
        <v>6.68</v>
      </c>
      <c r="N236" s="110">
        <f t="shared" si="43"/>
        <v>209673.64359999998</v>
      </c>
      <c r="O236" s="103">
        <v>6.02</v>
      </c>
      <c r="P236" s="110">
        <f t="shared" si="44"/>
        <v>1119496.7182</v>
      </c>
      <c r="Q236" s="104"/>
      <c r="R236" s="104"/>
      <c r="S236" s="42">
        <f t="shared" si="37"/>
        <v>3169157.3345999997</v>
      </c>
    </row>
    <row r="237" spans="1:19" x14ac:dyDescent="0.25">
      <c r="A237" s="108">
        <v>233</v>
      </c>
      <c r="B237" s="108" t="s">
        <v>34</v>
      </c>
      <c r="C237" s="109">
        <f t="shared" si="38"/>
        <v>94846.9</v>
      </c>
      <c r="D237" s="109">
        <v>31388.27</v>
      </c>
      <c r="E237" s="109">
        <v>195213.41</v>
      </c>
      <c r="F237" s="109"/>
      <c r="G237" s="109">
        <v>321448.58</v>
      </c>
      <c r="H237" s="109">
        <f t="shared" si="39"/>
        <v>385738.29600000003</v>
      </c>
      <c r="I237" s="110">
        <f t="shared" si="40"/>
        <v>3233424.4528000001</v>
      </c>
      <c r="J237" s="111">
        <f t="shared" si="41"/>
        <v>3880109.3433599998</v>
      </c>
      <c r="K237" s="101">
        <v>19.489999999999998</v>
      </c>
      <c r="L237" s="110">
        <f t="shared" si="42"/>
        <v>1848566.0809999998</v>
      </c>
      <c r="M237" s="103">
        <v>6.68</v>
      </c>
      <c r="N237" s="110">
        <f t="shared" si="43"/>
        <v>209673.64359999998</v>
      </c>
      <c r="O237" s="103">
        <v>6.02</v>
      </c>
      <c r="P237" s="110">
        <f t="shared" si="44"/>
        <v>1175184.7282</v>
      </c>
      <c r="Q237" s="104"/>
      <c r="R237" s="104"/>
      <c r="S237" s="42">
        <f t="shared" si="37"/>
        <v>3233424.4528000001</v>
      </c>
    </row>
    <row r="238" spans="1:19" x14ac:dyDescent="0.25">
      <c r="A238" s="108">
        <v>234</v>
      </c>
      <c r="B238" s="108" t="s">
        <v>35</v>
      </c>
      <c r="C238" s="109">
        <f t="shared" si="38"/>
        <v>93816.049999999959</v>
      </c>
      <c r="D238" s="109">
        <v>31388.27</v>
      </c>
      <c r="E238" s="109">
        <v>179893.91</v>
      </c>
      <c r="F238" s="109"/>
      <c r="G238" s="109">
        <v>305098.23</v>
      </c>
      <c r="H238" s="109">
        <f t="shared" si="39"/>
        <v>366117.87599999999</v>
      </c>
      <c r="I238" s="110">
        <f t="shared" si="40"/>
        <v>3121109.7962999991</v>
      </c>
      <c r="J238" s="111">
        <f t="shared" si="41"/>
        <v>3745331.755559999</v>
      </c>
      <c r="K238" s="101">
        <v>19.489999999999998</v>
      </c>
      <c r="L238" s="110">
        <f t="shared" si="42"/>
        <v>1828474.8144999992</v>
      </c>
      <c r="M238" s="103">
        <v>6.68</v>
      </c>
      <c r="N238" s="110">
        <f t="shared" si="43"/>
        <v>209673.64359999998</v>
      </c>
      <c r="O238" s="103">
        <v>6.02</v>
      </c>
      <c r="P238" s="110">
        <f t="shared" si="44"/>
        <v>1082961.3381999999</v>
      </c>
      <c r="Q238" s="104"/>
      <c r="R238" s="104"/>
      <c r="S238" s="42">
        <f t="shared" si="37"/>
        <v>3121109.7962999991</v>
      </c>
    </row>
    <row r="239" spans="1:19" x14ac:dyDescent="0.25">
      <c r="A239" s="108">
        <v>235</v>
      </c>
      <c r="B239" s="108" t="s">
        <v>36</v>
      </c>
      <c r="C239" s="109">
        <f t="shared" si="38"/>
        <v>100970.63999999998</v>
      </c>
      <c r="D239" s="109">
        <v>31388.27</v>
      </c>
      <c r="E239" s="109">
        <v>257992.91</v>
      </c>
      <c r="F239" s="109"/>
      <c r="G239" s="109">
        <v>390351.82</v>
      </c>
      <c r="H239" s="109">
        <f t="shared" si="39"/>
        <v>468422.18400000001</v>
      </c>
      <c r="I239" s="110">
        <f t="shared" si="40"/>
        <v>3730708.7353999997</v>
      </c>
      <c r="J239" s="111">
        <f t="shared" si="41"/>
        <v>4476850.4824799998</v>
      </c>
      <c r="K239" s="101">
        <v>19.489999999999998</v>
      </c>
      <c r="L239" s="110">
        <f t="shared" si="42"/>
        <v>1967917.7735999995</v>
      </c>
      <c r="M239" s="103">
        <v>6.68</v>
      </c>
      <c r="N239" s="110">
        <f t="shared" si="43"/>
        <v>209673.64359999998</v>
      </c>
      <c r="O239" s="103">
        <v>6.02</v>
      </c>
      <c r="P239" s="110">
        <f t="shared" si="44"/>
        <v>1553117.3181999999</v>
      </c>
      <c r="Q239" s="104"/>
      <c r="R239" s="104"/>
      <c r="S239" s="42">
        <f t="shared" si="37"/>
        <v>3730708.7353999997</v>
      </c>
    </row>
    <row r="240" spans="1:19" x14ac:dyDescent="0.25">
      <c r="A240" s="108">
        <v>236</v>
      </c>
      <c r="B240" s="108" t="s">
        <v>290</v>
      </c>
      <c r="C240" s="109">
        <f t="shared" si="38"/>
        <v>71006.699999999983</v>
      </c>
      <c r="D240" s="109">
        <v>22636.76</v>
      </c>
      <c r="E240" s="109">
        <v>234943.03</v>
      </c>
      <c r="F240" s="109"/>
      <c r="G240" s="109">
        <v>328586.49</v>
      </c>
      <c r="H240" s="109">
        <f t="shared" si="39"/>
        <v>394303.788</v>
      </c>
      <c r="I240" s="110">
        <f t="shared" si="40"/>
        <v>2949491.1803999995</v>
      </c>
      <c r="J240" s="111">
        <f t="shared" si="41"/>
        <v>3539389.4164799992</v>
      </c>
      <c r="K240" s="101">
        <v>19.489999999999998</v>
      </c>
      <c r="L240" s="110">
        <f t="shared" si="42"/>
        <v>1383920.5829999996</v>
      </c>
      <c r="M240" s="103">
        <v>6.68</v>
      </c>
      <c r="N240" s="110">
        <f t="shared" si="43"/>
        <v>151213.55679999999</v>
      </c>
      <c r="O240" s="103">
        <v>6.02</v>
      </c>
      <c r="P240" s="110">
        <f t="shared" si="44"/>
        <v>1414357.0405999999</v>
      </c>
      <c r="Q240" s="104"/>
      <c r="R240" s="104"/>
      <c r="S240" s="42">
        <f t="shared" si="37"/>
        <v>2949491.1803999995</v>
      </c>
    </row>
    <row r="241" spans="1:19" ht="33.75" x14ac:dyDescent="0.25">
      <c r="A241" s="108">
        <v>237</v>
      </c>
      <c r="B241" s="108" t="s">
        <v>291</v>
      </c>
      <c r="C241" s="109">
        <f t="shared" si="38"/>
        <v>204653.56</v>
      </c>
      <c r="D241" s="109">
        <v>54626.34</v>
      </c>
      <c r="E241" s="109">
        <v>490405.3</v>
      </c>
      <c r="F241" s="109"/>
      <c r="G241" s="109">
        <v>749685.2</v>
      </c>
      <c r="H241" s="109">
        <f t="shared" si="39"/>
        <v>899622.23999999987</v>
      </c>
      <c r="I241" s="110">
        <f t="shared" si="40"/>
        <v>7305841.7415999994</v>
      </c>
      <c r="J241" s="111">
        <f t="shared" si="41"/>
        <v>8767010.0899199992</v>
      </c>
      <c r="K241" s="101">
        <v>19.489999999999998</v>
      </c>
      <c r="L241" s="110">
        <f t="shared" si="42"/>
        <v>3988697.8843999999</v>
      </c>
      <c r="M241" s="103">
        <v>6.68</v>
      </c>
      <c r="N241" s="110">
        <f t="shared" si="43"/>
        <v>364903.95119999995</v>
      </c>
      <c r="O241" s="103">
        <v>6.02</v>
      </c>
      <c r="P241" s="110">
        <f t="shared" si="44"/>
        <v>2952239.9059999995</v>
      </c>
      <c r="Q241" s="104"/>
      <c r="R241" s="104"/>
      <c r="S241" s="42">
        <f t="shared" si="37"/>
        <v>7305841.7415999994</v>
      </c>
    </row>
    <row r="242" spans="1:19" ht="22.5" x14ac:dyDescent="0.25">
      <c r="A242" s="108">
        <v>238</v>
      </c>
      <c r="B242" s="108" t="s">
        <v>292</v>
      </c>
      <c r="C242" s="109">
        <f t="shared" si="38"/>
        <v>24172.789999999994</v>
      </c>
      <c r="D242" s="109">
        <v>7988.58</v>
      </c>
      <c r="E242" s="109">
        <v>65536.67</v>
      </c>
      <c r="F242" s="109"/>
      <c r="G242" s="109">
        <v>97698.04</v>
      </c>
      <c r="H242" s="109">
        <f t="shared" si="39"/>
        <v>117237.64799999999</v>
      </c>
      <c r="I242" s="110">
        <f t="shared" si="40"/>
        <v>919022.14489999996</v>
      </c>
      <c r="J242" s="111">
        <f t="shared" si="41"/>
        <v>1102826.5738799998</v>
      </c>
      <c r="K242" s="101">
        <v>19.489999999999998</v>
      </c>
      <c r="L242" s="110">
        <f t="shared" si="42"/>
        <v>471127.67709999986</v>
      </c>
      <c r="M242" s="103">
        <v>6.68</v>
      </c>
      <c r="N242" s="110">
        <f t="shared" si="43"/>
        <v>53363.714399999997</v>
      </c>
      <c r="O242" s="103">
        <v>6.02</v>
      </c>
      <c r="P242" s="110">
        <f t="shared" si="44"/>
        <v>394530.75339999999</v>
      </c>
      <c r="Q242" s="104"/>
      <c r="R242" s="104"/>
      <c r="S242" s="42">
        <f t="shared" si="37"/>
        <v>919022.14489999996</v>
      </c>
    </row>
    <row r="243" spans="1:19" ht="22.5" x14ac:dyDescent="0.25">
      <c r="A243" s="108">
        <v>239</v>
      </c>
      <c r="B243" s="108" t="s">
        <v>293</v>
      </c>
      <c r="C243" s="109">
        <f t="shared" si="38"/>
        <v>24719.479999999996</v>
      </c>
      <c r="D243" s="109">
        <v>7988.58</v>
      </c>
      <c r="E243" s="109">
        <v>71032.13</v>
      </c>
      <c r="F243" s="109"/>
      <c r="G243" s="109">
        <v>103740.19</v>
      </c>
      <c r="H243" s="109">
        <f t="shared" si="39"/>
        <v>124488.228</v>
      </c>
      <c r="I243" s="110">
        <f t="shared" si="40"/>
        <v>962759.8021999998</v>
      </c>
      <c r="J243" s="111">
        <f t="shared" si="41"/>
        <v>1155311.7626399996</v>
      </c>
      <c r="K243" s="101">
        <v>19.489999999999998</v>
      </c>
      <c r="L243" s="110">
        <f t="shared" si="42"/>
        <v>481782.66519999987</v>
      </c>
      <c r="M243" s="103">
        <v>6.68</v>
      </c>
      <c r="N243" s="110">
        <f t="shared" si="43"/>
        <v>53363.714399999997</v>
      </c>
      <c r="O243" s="103">
        <v>6.02</v>
      </c>
      <c r="P243" s="110">
        <f t="shared" si="44"/>
        <v>427613.42259999999</v>
      </c>
      <c r="Q243" s="104"/>
      <c r="R243" s="104"/>
      <c r="S243" s="42">
        <f t="shared" si="37"/>
        <v>962759.8021999998</v>
      </c>
    </row>
    <row r="244" spans="1:19" ht="22.5" x14ac:dyDescent="0.25">
      <c r="A244" s="108">
        <v>240</v>
      </c>
      <c r="B244" s="108" t="s">
        <v>294</v>
      </c>
      <c r="C244" s="109">
        <f t="shared" si="38"/>
        <v>30793.649999999994</v>
      </c>
      <c r="D244" s="109">
        <v>7988.58</v>
      </c>
      <c r="E244" s="109">
        <v>86775.89</v>
      </c>
      <c r="F244" s="109"/>
      <c r="G244" s="109">
        <v>125558.12</v>
      </c>
      <c r="H244" s="109">
        <f t="shared" si="39"/>
        <v>150669.74399999998</v>
      </c>
      <c r="I244" s="110">
        <f t="shared" si="40"/>
        <v>1175922.8106999998</v>
      </c>
      <c r="J244" s="111">
        <f t="shared" si="41"/>
        <v>1411107.3728399996</v>
      </c>
      <c r="K244" s="101">
        <v>19.489999999999998</v>
      </c>
      <c r="L244" s="110">
        <f t="shared" si="42"/>
        <v>600168.23849999986</v>
      </c>
      <c r="M244" s="103">
        <v>6.68</v>
      </c>
      <c r="N244" s="110">
        <f t="shared" si="43"/>
        <v>53363.714399999997</v>
      </c>
      <c r="O244" s="103">
        <v>6.02</v>
      </c>
      <c r="P244" s="110">
        <f t="shared" si="44"/>
        <v>522390.85779999994</v>
      </c>
      <c r="Q244" s="104"/>
      <c r="R244" s="104"/>
      <c r="S244" s="42">
        <f t="shared" si="37"/>
        <v>1175922.8106999998</v>
      </c>
    </row>
    <row r="245" spans="1:19" ht="22.5" x14ac:dyDescent="0.25">
      <c r="A245" s="108">
        <v>241</v>
      </c>
      <c r="B245" s="108" t="s">
        <v>295</v>
      </c>
      <c r="C245" s="109">
        <f t="shared" si="38"/>
        <v>17813.22</v>
      </c>
      <c r="D245" s="109">
        <v>6123.78</v>
      </c>
      <c r="E245" s="109">
        <v>41040.49</v>
      </c>
      <c r="F245" s="109"/>
      <c r="G245" s="109">
        <v>64977.49</v>
      </c>
      <c r="H245" s="109">
        <f t="shared" si="39"/>
        <v>77972.987999999998</v>
      </c>
      <c r="I245" s="110">
        <f t="shared" si="40"/>
        <v>635150.25799999991</v>
      </c>
      <c r="J245" s="111">
        <f t="shared" si="41"/>
        <v>762180.30959999992</v>
      </c>
      <c r="K245" s="101">
        <v>19.489999999999998</v>
      </c>
      <c r="L245" s="110">
        <f t="shared" si="42"/>
        <v>347179.65779999999</v>
      </c>
      <c r="M245" s="103">
        <v>6.68</v>
      </c>
      <c r="N245" s="110">
        <f t="shared" si="43"/>
        <v>40906.850399999996</v>
      </c>
      <c r="O245" s="103">
        <v>6.02</v>
      </c>
      <c r="P245" s="110">
        <f t="shared" si="44"/>
        <v>247063.74979999996</v>
      </c>
      <c r="Q245" s="104"/>
      <c r="R245" s="104"/>
      <c r="S245" s="42">
        <f t="shared" si="37"/>
        <v>635150.25799999991</v>
      </c>
    </row>
    <row r="246" spans="1:19" ht="22.5" x14ac:dyDescent="0.25">
      <c r="A246" s="108">
        <v>242</v>
      </c>
      <c r="B246" s="108" t="s">
        <v>37</v>
      </c>
      <c r="C246" s="109">
        <f t="shared" si="38"/>
        <v>104036.43</v>
      </c>
      <c r="D246" s="109">
        <v>29802.95</v>
      </c>
      <c r="E246" s="109">
        <v>359821.68</v>
      </c>
      <c r="F246" s="109"/>
      <c r="G246" s="109">
        <v>493661.06</v>
      </c>
      <c r="H246" s="109">
        <f t="shared" si="39"/>
        <v>592393.272</v>
      </c>
      <c r="I246" s="110">
        <f t="shared" si="40"/>
        <v>4392880.2402999997</v>
      </c>
      <c r="J246" s="111">
        <f t="shared" si="41"/>
        <v>5271456.2883599997</v>
      </c>
      <c r="K246" s="101">
        <v>19.489999999999998</v>
      </c>
      <c r="L246" s="110">
        <f t="shared" si="42"/>
        <v>2027670.0206999998</v>
      </c>
      <c r="M246" s="103">
        <v>6.68</v>
      </c>
      <c r="N246" s="110">
        <f t="shared" si="43"/>
        <v>199083.70600000001</v>
      </c>
      <c r="O246" s="103">
        <v>6.02</v>
      </c>
      <c r="P246" s="110">
        <f t="shared" si="44"/>
        <v>2166126.5135999997</v>
      </c>
      <c r="Q246" s="104"/>
      <c r="R246" s="104"/>
      <c r="S246" s="42">
        <f t="shared" si="37"/>
        <v>4392880.2402999997</v>
      </c>
    </row>
    <row r="247" spans="1:19" x14ac:dyDescent="0.25">
      <c r="A247" s="108">
        <v>243</v>
      </c>
      <c r="B247" s="108" t="s">
        <v>296</v>
      </c>
      <c r="C247" s="109">
        <f t="shared" si="38"/>
        <v>107436.90000000002</v>
      </c>
      <c r="D247" s="109">
        <v>28755.35</v>
      </c>
      <c r="E247" s="109">
        <v>398264.73</v>
      </c>
      <c r="F247" s="109"/>
      <c r="G247" s="109">
        <v>534456.98</v>
      </c>
      <c r="H247" s="109">
        <f t="shared" si="39"/>
        <v>641348.37599999993</v>
      </c>
      <c r="I247" s="110">
        <f t="shared" si="40"/>
        <v>4683584.5935999993</v>
      </c>
      <c r="J247" s="111">
        <f t="shared" si="41"/>
        <v>5620301.5123199988</v>
      </c>
      <c r="K247" s="101">
        <v>19.489999999999998</v>
      </c>
      <c r="L247" s="110">
        <f t="shared" si="42"/>
        <v>2093945.1810000003</v>
      </c>
      <c r="M247" s="103">
        <v>6.68</v>
      </c>
      <c r="N247" s="110">
        <f t="shared" si="43"/>
        <v>192085.73799999998</v>
      </c>
      <c r="O247" s="103">
        <v>6.02</v>
      </c>
      <c r="P247" s="110">
        <f t="shared" si="44"/>
        <v>2397553.6745999996</v>
      </c>
      <c r="Q247" s="104"/>
      <c r="R247" s="104"/>
      <c r="S247" s="42">
        <f t="shared" si="37"/>
        <v>4683584.5935999993</v>
      </c>
    </row>
    <row r="248" spans="1:19" ht="22.5" x14ac:dyDescent="0.25">
      <c r="A248" s="108">
        <v>244</v>
      </c>
      <c r="B248" s="108" t="s">
        <v>297</v>
      </c>
      <c r="C248" s="109">
        <f t="shared" si="38"/>
        <v>117430.52000000008</v>
      </c>
      <c r="D248" s="109">
        <v>27827.45</v>
      </c>
      <c r="E248" s="109">
        <v>444263.3</v>
      </c>
      <c r="F248" s="109"/>
      <c r="G248" s="109">
        <v>589521.27</v>
      </c>
      <c r="H248" s="109">
        <f t="shared" si="39"/>
        <v>707425.52399999998</v>
      </c>
      <c r="I248" s="110">
        <f t="shared" si="40"/>
        <v>5149073.2668000013</v>
      </c>
      <c r="J248" s="111">
        <f t="shared" si="41"/>
        <v>6178887.9201600011</v>
      </c>
      <c r="K248" s="101">
        <v>19.489999999999998</v>
      </c>
      <c r="L248" s="110">
        <f t="shared" si="42"/>
        <v>2288720.8348000012</v>
      </c>
      <c r="M248" s="103">
        <v>6.68</v>
      </c>
      <c r="N248" s="110">
        <f t="shared" si="43"/>
        <v>185887.36600000001</v>
      </c>
      <c r="O248" s="103">
        <v>6.02</v>
      </c>
      <c r="P248" s="110">
        <f t="shared" si="44"/>
        <v>2674465.0659999996</v>
      </c>
      <c r="Q248" s="104"/>
      <c r="R248" s="104"/>
      <c r="S248" s="42">
        <f t="shared" si="37"/>
        <v>5149073.2668000013</v>
      </c>
    </row>
    <row r="249" spans="1:19" ht="22.5" x14ac:dyDescent="0.25">
      <c r="A249" s="108">
        <v>245</v>
      </c>
      <c r="B249" s="108" t="s">
        <v>39</v>
      </c>
      <c r="C249" s="109">
        <f t="shared" si="38"/>
        <v>100093.88</v>
      </c>
      <c r="D249" s="109">
        <v>29802.95</v>
      </c>
      <c r="E249" s="109">
        <v>319312.68</v>
      </c>
      <c r="F249" s="109"/>
      <c r="G249" s="109">
        <v>449209.51</v>
      </c>
      <c r="H249" s="109">
        <f t="shared" si="39"/>
        <v>539051.41200000001</v>
      </c>
      <c r="I249" s="110">
        <f t="shared" si="40"/>
        <v>4072175.7607999993</v>
      </c>
      <c r="J249" s="111">
        <f t="shared" si="41"/>
        <v>4886610.9129599994</v>
      </c>
      <c r="K249" s="101">
        <v>19.489999999999998</v>
      </c>
      <c r="L249" s="110">
        <f t="shared" si="42"/>
        <v>1950829.7212</v>
      </c>
      <c r="M249" s="103">
        <v>6.68</v>
      </c>
      <c r="N249" s="110">
        <f t="shared" si="43"/>
        <v>199083.70600000001</v>
      </c>
      <c r="O249" s="103">
        <v>6.02</v>
      </c>
      <c r="P249" s="110">
        <f t="shared" si="44"/>
        <v>1922262.3335999998</v>
      </c>
      <c r="Q249" s="104"/>
      <c r="R249" s="104"/>
      <c r="S249" s="42">
        <f t="shared" si="37"/>
        <v>4072175.7607999993</v>
      </c>
    </row>
    <row r="250" spans="1:19" ht="14.25" customHeight="1" x14ac:dyDescent="0.25">
      <c r="A250" s="108">
        <v>246</v>
      </c>
      <c r="B250" s="108" t="s">
        <v>38</v>
      </c>
      <c r="C250" s="109">
        <f t="shared" si="38"/>
        <v>108062.78000000003</v>
      </c>
      <c r="D250" s="109">
        <v>29802.95</v>
      </c>
      <c r="E250" s="109">
        <v>401191.67999999999</v>
      </c>
      <c r="F250" s="109"/>
      <c r="G250" s="109">
        <v>539057.41</v>
      </c>
      <c r="H250" s="109">
        <f t="shared" si="39"/>
        <v>646868.89199999999</v>
      </c>
      <c r="I250" s="110">
        <f t="shared" si="40"/>
        <v>4720401.2017999999</v>
      </c>
      <c r="J250" s="111">
        <f t="shared" si="41"/>
        <v>5664481.4421600001</v>
      </c>
      <c r="K250" s="101">
        <v>19.489999999999998</v>
      </c>
      <c r="L250" s="110">
        <f t="shared" si="42"/>
        <v>2106143.5822000005</v>
      </c>
      <c r="M250" s="103">
        <v>6.68</v>
      </c>
      <c r="N250" s="110">
        <f t="shared" si="43"/>
        <v>199083.70600000001</v>
      </c>
      <c r="O250" s="103">
        <v>6.02</v>
      </c>
      <c r="P250" s="110">
        <f t="shared" si="44"/>
        <v>2415173.9135999996</v>
      </c>
      <c r="Q250" s="104"/>
      <c r="R250" s="104"/>
      <c r="S250" s="42">
        <f t="shared" si="37"/>
        <v>4720401.2017999999</v>
      </c>
    </row>
    <row r="251" spans="1:19" ht="22.5" x14ac:dyDescent="0.25">
      <c r="A251" s="108">
        <v>247</v>
      </c>
      <c r="B251" s="108" t="s">
        <v>40</v>
      </c>
      <c r="C251" s="109">
        <f t="shared" si="38"/>
        <v>23375.040000000008</v>
      </c>
      <c r="D251" s="109">
        <v>6123.78</v>
      </c>
      <c r="E251" s="109">
        <v>96949.92</v>
      </c>
      <c r="F251" s="109"/>
      <c r="G251" s="109">
        <v>126448.74</v>
      </c>
      <c r="H251" s="109">
        <f t="shared" si="39"/>
        <v>151738.48800000001</v>
      </c>
      <c r="I251" s="110">
        <f t="shared" si="40"/>
        <v>1080124.8984000001</v>
      </c>
      <c r="J251" s="111">
        <f t="shared" si="41"/>
        <v>1296149.8780799999</v>
      </c>
      <c r="K251" s="101">
        <v>19.489999999999998</v>
      </c>
      <c r="L251" s="110">
        <f t="shared" si="42"/>
        <v>455579.52960000013</v>
      </c>
      <c r="M251" s="103">
        <v>6.68</v>
      </c>
      <c r="N251" s="110">
        <f t="shared" si="43"/>
        <v>40906.850399999996</v>
      </c>
      <c r="O251" s="103">
        <v>6.02</v>
      </c>
      <c r="P251" s="110">
        <f t="shared" si="44"/>
        <v>583638.51839999994</v>
      </c>
      <c r="Q251" s="104"/>
      <c r="R251" s="104"/>
      <c r="S251" s="42">
        <f t="shared" si="37"/>
        <v>1080124.8984000001</v>
      </c>
    </row>
    <row r="252" spans="1:19" ht="22.5" x14ac:dyDescent="0.25">
      <c r="A252" s="108">
        <v>248</v>
      </c>
      <c r="B252" s="108" t="s">
        <v>41</v>
      </c>
      <c r="C252" s="109">
        <f t="shared" si="38"/>
        <v>27489.940000000002</v>
      </c>
      <c r="D252" s="109">
        <v>6123.78</v>
      </c>
      <c r="E252" s="109">
        <v>138314.41</v>
      </c>
      <c r="F252" s="109"/>
      <c r="G252" s="109">
        <v>171928.13</v>
      </c>
      <c r="H252" s="109">
        <f t="shared" si="39"/>
        <v>206313.75599999999</v>
      </c>
      <c r="I252" s="110">
        <f t="shared" si="40"/>
        <v>1409338.5291999998</v>
      </c>
      <c r="J252" s="111">
        <f t="shared" si="41"/>
        <v>1691206.2350399997</v>
      </c>
      <c r="K252" s="101">
        <v>19.489999999999998</v>
      </c>
      <c r="L252" s="110">
        <f t="shared" si="42"/>
        <v>535778.93059999996</v>
      </c>
      <c r="M252" s="103">
        <v>6.68</v>
      </c>
      <c r="N252" s="110">
        <f t="shared" si="43"/>
        <v>40906.850399999996</v>
      </c>
      <c r="O252" s="103">
        <v>6.02</v>
      </c>
      <c r="P252" s="110">
        <f t="shared" si="44"/>
        <v>832652.74819999991</v>
      </c>
      <c r="Q252" s="104"/>
      <c r="R252" s="104"/>
      <c r="S252" s="42">
        <f t="shared" si="37"/>
        <v>1409338.5291999998</v>
      </c>
    </row>
    <row r="253" spans="1:19" ht="22.5" x14ac:dyDescent="0.25">
      <c r="A253" s="108">
        <v>249</v>
      </c>
      <c r="B253" s="108" t="s">
        <v>42</v>
      </c>
      <c r="C253" s="109">
        <f t="shared" si="38"/>
        <v>110891.59999999998</v>
      </c>
      <c r="D253" s="109">
        <v>34476.57</v>
      </c>
      <c r="E253" s="109">
        <v>262704.71000000002</v>
      </c>
      <c r="F253" s="109"/>
      <c r="G253" s="109">
        <v>408072.88</v>
      </c>
      <c r="H253" s="109">
        <f t="shared" si="39"/>
        <v>489687.45600000001</v>
      </c>
      <c r="I253" s="110">
        <f t="shared" si="40"/>
        <v>3973063.1257999996</v>
      </c>
      <c r="J253" s="111">
        <f t="shared" si="41"/>
        <v>4767675.7509599989</v>
      </c>
      <c r="K253" s="101">
        <v>19.489999999999998</v>
      </c>
      <c r="L253" s="110">
        <f t="shared" si="42"/>
        <v>2161277.2839999995</v>
      </c>
      <c r="M253" s="103">
        <v>6.68</v>
      </c>
      <c r="N253" s="110">
        <f t="shared" si="43"/>
        <v>230303.48759999999</v>
      </c>
      <c r="O253" s="103">
        <v>6.02</v>
      </c>
      <c r="P253" s="110">
        <f t="shared" si="44"/>
        <v>1581482.3541999999</v>
      </c>
      <c r="Q253" s="104"/>
      <c r="R253" s="104"/>
      <c r="S253" s="42">
        <f t="shared" si="37"/>
        <v>3973063.1257999996</v>
      </c>
    </row>
    <row r="254" spans="1:19" ht="22.5" x14ac:dyDescent="0.25">
      <c r="A254" s="108">
        <v>250</v>
      </c>
      <c r="B254" s="108" t="s">
        <v>43</v>
      </c>
      <c r="C254" s="109">
        <f t="shared" si="38"/>
        <v>65787.570000000007</v>
      </c>
      <c r="D254" s="109">
        <v>11855.69</v>
      </c>
      <c r="E254" s="109">
        <v>233033.74</v>
      </c>
      <c r="F254" s="109"/>
      <c r="G254" s="109">
        <v>310677</v>
      </c>
      <c r="H254" s="109">
        <f t="shared" si="39"/>
        <v>372812.39999999997</v>
      </c>
      <c r="I254" s="110">
        <f t="shared" si="40"/>
        <v>2764258.8632999999</v>
      </c>
      <c r="J254" s="111">
        <f t="shared" si="41"/>
        <v>3317110.6359599996</v>
      </c>
      <c r="K254" s="101">
        <v>19.489999999999998</v>
      </c>
      <c r="L254" s="110">
        <f t="shared" si="42"/>
        <v>1282199.7393</v>
      </c>
      <c r="M254" s="103">
        <v>6.68</v>
      </c>
      <c r="N254" s="110">
        <f t="shared" si="43"/>
        <v>79196.0092</v>
      </c>
      <c r="O254" s="103">
        <v>6.02</v>
      </c>
      <c r="P254" s="110">
        <f t="shared" si="44"/>
        <v>1402863.1147999999</v>
      </c>
      <c r="Q254" s="104"/>
      <c r="R254" s="104"/>
      <c r="S254" s="42">
        <f t="shared" si="37"/>
        <v>2764258.8632999999</v>
      </c>
    </row>
    <row r="255" spans="1:19" ht="22.5" x14ac:dyDescent="0.25">
      <c r="A255" s="108">
        <v>251</v>
      </c>
      <c r="B255" s="108" t="s">
        <v>44</v>
      </c>
      <c r="C255" s="109">
        <f t="shared" si="38"/>
        <v>76824.270000000019</v>
      </c>
      <c r="D255" s="109">
        <v>11855.69</v>
      </c>
      <c r="E255" s="109">
        <v>346433.74</v>
      </c>
      <c r="F255" s="109"/>
      <c r="G255" s="109">
        <v>435113.7</v>
      </c>
      <c r="H255" s="109">
        <f t="shared" si="39"/>
        <v>522136.44</v>
      </c>
      <c r="I255" s="110">
        <f t="shared" si="40"/>
        <v>3662032.1463000001</v>
      </c>
      <c r="J255" s="111">
        <f t="shared" si="41"/>
        <v>4394438.5755599998</v>
      </c>
      <c r="K255" s="101">
        <v>19.489999999999998</v>
      </c>
      <c r="L255" s="110">
        <f t="shared" si="42"/>
        <v>1497305.0223000003</v>
      </c>
      <c r="M255" s="103">
        <v>6.68</v>
      </c>
      <c r="N255" s="110">
        <f t="shared" si="43"/>
        <v>79196.0092</v>
      </c>
      <c r="O255" s="103">
        <v>6.02</v>
      </c>
      <c r="P255" s="110">
        <f t="shared" si="44"/>
        <v>2085531.1147999999</v>
      </c>
      <c r="Q255" s="104"/>
      <c r="R255" s="104"/>
      <c r="S255" s="42">
        <f t="shared" si="37"/>
        <v>3662032.1463000001</v>
      </c>
    </row>
    <row r="256" spans="1:19" x14ac:dyDescent="0.25">
      <c r="A256" s="108">
        <v>252</v>
      </c>
      <c r="B256" s="108" t="s">
        <v>46</v>
      </c>
      <c r="C256" s="109">
        <f t="shared" si="38"/>
        <v>47438.899999999994</v>
      </c>
      <c r="D256" s="109">
        <v>9944.01</v>
      </c>
      <c r="E256" s="109">
        <v>141501.85999999999</v>
      </c>
      <c r="F256" s="109"/>
      <c r="G256" s="109">
        <v>198884.77</v>
      </c>
      <c r="H256" s="109">
        <f t="shared" si="39"/>
        <v>238661.72399999999</v>
      </c>
      <c r="I256" s="110">
        <f t="shared" si="40"/>
        <v>1842851.3449999997</v>
      </c>
      <c r="J256" s="111">
        <f t="shared" si="41"/>
        <v>2211421.6139999996</v>
      </c>
      <c r="K256" s="101">
        <v>19.489999999999998</v>
      </c>
      <c r="L256" s="110">
        <f t="shared" si="42"/>
        <v>924584.16099999985</v>
      </c>
      <c r="M256" s="103">
        <v>6.68</v>
      </c>
      <c r="N256" s="110">
        <f t="shared" si="43"/>
        <v>66425.986799999999</v>
      </c>
      <c r="O256" s="103">
        <v>6.02</v>
      </c>
      <c r="P256" s="110">
        <f t="shared" si="44"/>
        <v>851841.19719999982</v>
      </c>
      <c r="Q256" s="104"/>
      <c r="R256" s="104"/>
      <c r="S256" s="42">
        <f t="shared" si="37"/>
        <v>1842851.3449999997</v>
      </c>
    </row>
    <row r="257" spans="1:19" ht="22.5" x14ac:dyDescent="0.25">
      <c r="A257" s="108">
        <v>253</v>
      </c>
      <c r="B257" s="108" t="s">
        <v>47</v>
      </c>
      <c r="C257" s="109">
        <f t="shared" si="38"/>
        <v>52957.25</v>
      </c>
      <c r="D257" s="109">
        <v>9944.01</v>
      </c>
      <c r="E257" s="109">
        <v>198201.86</v>
      </c>
      <c r="F257" s="109"/>
      <c r="G257" s="109">
        <v>261103.12</v>
      </c>
      <c r="H257" s="109">
        <f t="shared" si="39"/>
        <v>313323.74400000001</v>
      </c>
      <c r="I257" s="110">
        <f t="shared" si="40"/>
        <v>2291737.9864999996</v>
      </c>
      <c r="J257" s="111">
        <f t="shared" si="41"/>
        <v>2750085.5837999997</v>
      </c>
      <c r="K257" s="101">
        <v>19.489999999999998</v>
      </c>
      <c r="L257" s="110">
        <f t="shared" si="42"/>
        <v>1032136.8024999999</v>
      </c>
      <c r="M257" s="103">
        <v>6.68</v>
      </c>
      <c r="N257" s="110">
        <f t="shared" si="43"/>
        <v>66425.986799999999</v>
      </c>
      <c r="O257" s="103">
        <v>6.02</v>
      </c>
      <c r="P257" s="110">
        <f t="shared" si="44"/>
        <v>1193175.1971999998</v>
      </c>
      <c r="Q257" s="104"/>
      <c r="R257" s="104"/>
      <c r="S257" s="42">
        <f t="shared" si="37"/>
        <v>2291737.9864999996</v>
      </c>
    </row>
    <row r="258" spans="1:19" ht="22.5" x14ac:dyDescent="0.25">
      <c r="A258" s="108">
        <v>254</v>
      </c>
      <c r="B258" s="108" t="s">
        <v>48</v>
      </c>
      <c r="C258" s="109">
        <f t="shared" si="38"/>
        <v>42720.97</v>
      </c>
      <c r="D258" s="109">
        <v>8633.2199999999993</v>
      </c>
      <c r="E258" s="109">
        <v>143287.06</v>
      </c>
      <c r="F258" s="109"/>
      <c r="G258" s="109">
        <v>194641.25</v>
      </c>
      <c r="H258" s="109">
        <f t="shared" si="39"/>
        <v>233569.5</v>
      </c>
      <c r="I258" s="110">
        <f t="shared" si="40"/>
        <v>1752889.7160999998</v>
      </c>
      <c r="J258" s="111">
        <f t="shared" si="41"/>
        <v>2103467.6593199996</v>
      </c>
      <c r="K258" s="101">
        <v>19.489999999999998</v>
      </c>
      <c r="L258" s="110">
        <f t="shared" si="42"/>
        <v>832631.70529999991</v>
      </c>
      <c r="M258" s="103">
        <v>6.68</v>
      </c>
      <c r="N258" s="110">
        <f t="shared" si="43"/>
        <v>57669.909599999992</v>
      </c>
      <c r="O258" s="103">
        <v>6.02</v>
      </c>
      <c r="P258" s="110">
        <f t="shared" si="44"/>
        <v>862588.10119999992</v>
      </c>
      <c r="Q258" s="104"/>
      <c r="R258" s="104"/>
      <c r="S258" s="42">
        <f t="shared" si="37"/>
        <v>1752889.7160999998</v>
      </c>
    </row>
    <row r="259" spans="1:19" ht="22.5" x14ac:dyDescent="0.25">
      <c r="A259" s="108">
        <v>255</v>
      </c>
      <c r="B259" s="108" t="s">
        <v>49</v>
      </c>
      <c r="C259" s="109">
        <f t="shared" si="38"/>
        <v>48239.320000000007</v>
      </c>
      <c r="D259" s="109">
        <v>8633.2199999999993</v>
      </c>
      <c r="E259" s="109">
        <v>199987.06</v>
      </c>
      <c r="F259" s="109"/>
      <c r="G259" s="109">
        <v>256859.6</v>
      </c>
      <c r="H259" s="109">
        <f t="shared" si="39"/>
        <v>308231.52</v>
      </c>
      <c r="I259" s="110">
        <f t="shared" si="40"/>
        <v>2201776.3575999998</v>
      </c>
      <c r="J259" s="111">
        <f t="shared" si="41"/>
        <v>2642131.6291199997</v>
      </c>
      <c r="K259" s="101">
        <v>19.489999999999998</v>
      </c>
      <c r="L259" s="110">
        <f t="shared" si="42"/>
        <v>940184.34680000006</v>
      </c>
      <c r="M259" s="103">
        <v>6.68</v>
      </c>
      <c r="N259" s="110">
        <f t="shared" si="43"/>
        <v>57669.909599999992</v>
      </c>
      <c r="O259" s="103">
        <v>6.02</v>
      </c>
      <c r="P259" s="110">
        <f t="shared" si="44"/>
        <v>1203922.1011999999</v>
      </c>
      <c r="Q259" s="104"/>
      <c r="R259" s="104"/>
      <c r="S259" s="42">
        <f t="shared" si="37"/>
        <v>2201776.3575999998</v>
      </c>
    </row>
    <row r="260" spans="1:19" x14ac:dyDescent="0.25">
      <c r="A260" s="108">
        <v>256</v>
      </c>
      <c r="B260" s="108" t="s">
        <v>50</v>
      </c>
      <c r="C260" s="109">
        <f t="shared" si="38"/>
        <v>98334.069999999949</v>
      </c>
      <c r="D260" s="109">
        <v>31388.59</v>
      </c>
      <c r="E260" s="109">
        <v>230734.69</v>
      </c>
      <c r="F260" s="109"/>
      <c r="G260" s="109">
        <v>360457.35</v>
      </c>
      <c r="H260" s="109">
        <f t="shared" si="39"/>
        <v>432548.81999999995</v>
      </c>
      <c r="I260" s="110">
        <f t="shared" si="40"/>
        <v>3515229.639299999</v>
      </c>
      <c r="J260" s="111">
        <f t="shared" si="41"/>
        <v>4218275.5671599982</v>
      </c>
      <c r="K260" s="101">
        <v>19.489999999999998</v>
      </c>
      <c r="L260" s="110">
        <f t="shared" si="42"/>
        <v>1916531.0242999988</v>
      </c>
      <c r="M260" s="103">
        <v>6.68</v>
      </c>
      <c r="N260" s="110">
        <f t="shared" si="43"/>
        <v>209675.7812</v>
      </c>
      <c r="O260" s="103">
        <v>6.02</v>
      </c>
      <c r="P260" s="110">
        <f t="shared" si="44"/>
        <v>1389022.8337999999</v>
      </c>
      <c r="Q260" s="104"/>
      <c r="R260" s="104"/>
      <c r="S260" s="42">
        <f t="shared" ref="S260:S292" si="45">I260-R260</f>
        <v>3515229.639299999</v>
      </c>
    </row>
    <row r="261" spans="1:19" ht="22.5" x14ac:dyDescent="0.25">
      <c r="A261" s="108">
        <v>257</v>
      </c>
      <c r="B261" s="108" t="s">
        <v>51</v>
      </c>
      <c r="C261" s="109">
        <f t="shared" si="38"/>
        <v>27297.76999999999</v>
      </c>
      <c r="D261" s="109">
        <v>7988.58</v>
      </c>
      <c r="E261" s="109">
        <v>96949.92</v>
      </c>
      <c r="F261" s="109"/>
      <c r="G261" s="109">
        <v>132236.26999999999</v>
      </c>
      <c r="H261" s="109">
        <f t="shared" si="39"/>
        <v>158683.52399999998</v>
      </c>
      <c r="I261" s="110">
        <f t="shared" si="40"/>
        <v>1169035.7700999996</v>
      </c>
      <c r="J261" s="111">
        <f t="shared" si="41"/>
        <v>1402842.9241199994</v>
      </c>
      <c r="K261" s="101">
        <v>19.489999999999998</v>
      </c>
      <c r="L261" s="110">
        <f t="shared" si="42"/>
        <v>532033.53729999973</v>
      </c>
      <c r="M261" s="103">
        <v>6.68</v>
      </c>
      <c r="N261" s="110">
        <f t="shared" si="43"/>
        <v>53363.714399999997</v>
      </c>
      <c r="O261" s="103">
        <v>6.02</v>
      </c>
      <c r="P261" s="110">
        <f t="shared" si="44"/>
        <v>583638.51839999994</v>
      </c>
      <c r="Q261" s="104"/>
      <c r="R261" s="104"/>
      <c r="S261" s="42">
        <f t="shared" si="45"/>
        <v>1169035.7700999996</v>
      </c>
    </row>
    <row r="262" spans="1:19" ht="22.5" x14ac:dyDescent="0.25">
      <c r="A262" s="108">
        <v>258</v>
      </c>
      <c r="B262" s="108" t="s">
        <v>52</v>
      </c>
      <c r="C262" s="109">
        <f t="shared" si="38"/>
        <v>28616.87000000001</v>
      </c>
      <c r="D262" s="109">
        <v>7988.58</v>
      </c>
      <c r="E262" s="109">
        <v>110584.55</v>
      </c>
      <c r="F262" s="109"/>
      <c r="G262" s="109">
        <v>147190</v>
      </c>
      <c r="H262" s="109">
        <f t="shared" si="39"/>
        <v>176628</v>
      </c>
      <c r="I262" s="110">
        <f t="shared" si="40"/>
        <v>1276825.5017000001</v>
      </c>
      <c r="J262" s="111">
        <f t="shared" si="41"/>
        <v>1532190.60204</v>
      </c>
      <c r="K262" s="101">
        <v>19.489999999999998</v>
      </c>
      <c r="L262" s="110">
        <f t="shared" si="42"/>
        <v>557742.79630000016</v>
      </c>
      <c r="M262" s="103">
        <v>6.68</v>
      </c>
      <c r="N262" s="110">
        <f t="shared" si="43"/>
        <v>53363.714399999997</v>
      </c>
      <c r="O262" s="103">
        <v>6.02</v>
      </c>
      <c r="P262" s="110">
        <f t="shared" si="44"/>
        <v>665718.99099999992</v>
      </c>
      <c r="Q262" s="104"/>
      <c r="R262" s="104"/>
      <c r="S262" s="42">
        <f t="shared" si="45"/>
        <v>1276825.5017000001</v>
      </c>
    </row>
    <row r="263" spans="1:19" x14ac:dyDescent="0.25">
      <c r="A263" s="108">
        <v>259</v>
      </c>
      <c r="B263" s="108" t="s">
        <v>53</v>
      </c>
      <c r="C263" s="109">
        <f t="shared" ref="C263:C288" si="46">G263-D263-E263-F263</f>
        <v>8460.9399999999987</v>
      </c>
      <c r="D263" s="109">
        <v>2649.5</v>
      </c>
      <c r="E263" s="109">
        <v>22343.99</v>
      </c>
      <c r="F263" s="109"/>
      <c r="G263" s="109">
        <v>33454.43</v>
      </c>
      <c r="H263" s="109">
        <f t="shared" ref="H263:H292" si="47">G263*1.2</f>
        <v>40145.315999999999</v>
      </c>
      <c r="I263" s="110">
        <f t="shared" ref="I263:I288" si="48">L263+N263+P263</f>
        <v>317113.20039999997</v>
      </c>
      <c r="J263" s="111">
        <f t="shared" ref="J263:J292" si="49">I263*1.2</f>
        <v>380535.84047999996</v>
      </c>
      <c r="K263" s="101">
        <v>19.489999999999998</v>
      </c>
      <c r="L263" s="110">
        <f t="shared" ref="L263:L292" si="50">C263*K263</f>
        <v>164903.72059999997</v>
      </c>
      <c r="M263" s="103">
        <v>6.68</v>
      </c>
      <c r="N263" s="110">
        <f t="shared" ref="N263:N292" si="51">D263*M263</f>
        <v>17698.66</v>
      </c>
      <c r="O263" s="103">
        <v>6.02</v>
      </c>
      <c r="P263" s="110">
        <f t="shared" ref="P263:P292" si="52">E263*O263</f>
        <v>134510.8198</v>
      </c>
      <c r="Q263" s="104"/>
      <c r="R263" s="104"/>
      <c r="S263" s="42">
        <f t="shared" si="45"/>
        <v>317113.20039999997</v>
      </c>
    </row>
    <row r="264" spans="1:19" x14ac:dyDescent="0.25">
      <c r="A264" s="108">
        <v>260</v>
      </c>
      <c r="B264" s="108" t="s">
        <v>54</v>
      </c>
      <c r="C264" s="109">
        <f t="shared" si="46"/>
        <v>8698.320000000007</v>
      </c>
      <c r="D264" s="109">
        <v>2647.24</v>
      </c>
      <c r="E264" s="109">
        <v>24636.17</v>
      </c>
      <c r="F264" s="109"/>
      <c r="G264" s="109">
        <v>35981.730000000003</v>
      </c>
      <c r="H264" s="109">
        <f t="shared" si="47"/>
        <v>43178.076000000001</v>
      </c>
      <c r="I264" s="110">
        <f t="shared" si="48"/>
        <v>335523.5634000001</v>
      </c>
      <c r="J264" s="111">
        <f t="shared" si="49"/>
        <v>402628.2760800001</v>
      </c>
      <c r="K264" s="101">
        <v>19.489999999999998</v>
      </c>
      <c r="L264" s="110">
        <f t="shared" si="50"/>
        <v>169530.25680000012</v>
      </c>
      <c r="M264" s="103">
        <v>6.68</v>
      </c>
      <c r="N264" s="110">
        <f t="shared" si="51"/>
        <v>17683.563199999997</v>
      </c>
      <c r="O264" s="103">
        <v>6.02</v>
      </c>
      <c r="P264" s="110">
        <f t="shared" si="52"/>
        <v>148309.74339999998</v>
      </c>
      <c r="Q264" s="104"/>
      <c r="R264" s="104"/>
      <c r="S264" s="42">
        <f t="shared" si="45"/>
        <v>335523.5634000001</v>
      </c>
    </row>
    <row r="265" spans="1:19" ht="22.5" x14ac:dyDescent="0.25">
      <c r="A265" s="108">
        <v>261</v>
      </c>
      <c r="B265" s="108" t="s">
        <v>298</v>
      </c>
      <c r="C265" s="109">
        <f t="shared" si="46"/>
        <v>9601.5099999999984</v>
      </c>
      <c r="D265" s="109">
        <v>2808.22</v>
      </c>
      <c r="E265" s="109">
        <v>29908.880000000001</v>
      </c>
      <c r="F265" s="109"/>
      <c r="G265" s="109">
        <v>42318.61</v>
      </c>
      <c r="H265" s="109">
        <f t="shared" si="47"/>
        <v>50782.332000000002</v>
      </c>
      <c r="I265" s="110">
        <f t="shared" si="48"/>
        <v>385943.79709999997</v>
      </c>
      <c r="J265" s="111">
        <f t="shared" si="49"/>
        <v>463132.55651999993</v>
      </c>
      <c r="K265" s="101">
        <v>19.489999999999998</v>
      </c>
      <c r="L265" s="110">
        <f t="shared" si="50"/>
        <v>187133.42989999996</v>
      </c>
      <c r="M265" s="103">
        <v>6.68</v>
      </c>
      <c r="N265" s="110">
        <f t="shared" si="51"/>
        <v>18758.909599999999</v>
      </c>
      <c r="O265" s="103">
        <v>6.02</v>
      </c>
      <c r="P265" s="110">
        <f t="shared" si="52"/>
        <v>180051.45759999999</v>
      </c>
      <c r="Q265" s="104"/>
      <c r="R265" s="104"/>
      <c r="S265" s="42">
        <f t="shared" si="45"/>
        <v>385943.79709999997</v>
      </c>
    </row>
    <row r="266" spans="1:19" ht="22.5" x14ac:dyDescent="0.25">
      <c r="A266" s="108">
        <v>262</v>
      </c>
      <c r="B266" s="108" t="s">
        <v>55</v>
      </c>
      <c r="C266" s="109">
        <f t="shared" si="46"/>
        <v>8441.4600000000028</v>
      </c>
      <c r="D266" s="109">
        <v>2321.14</v>
      </c>
      <c r="E266" s="109">
        <v>26758.44</v>
      </c>
      <c r="F266" s="109"/>
      <c r="G266" s="109">
        <v>37521.040000000001</v>
      </c>
      <c r="H266" s="109">
        <f t="shared" si="47"/>
        <v>45025.248</v>
      </c>
      <c r="I266" s="110">
        <f t="shared" si="48"/>
        <v>341115.07940000005</v>
      </c>
      <c r="J266" s="111">
        <f t="shared" si="49"/>
        <v>409338.09528000007</v>
      </c>
      <c r="K266" s="101">
        <v>19.489999999999998</v>
      </c>
      <c r="L266" s="110">
        <f t="shared" si="50"/>
        <v>164524.05540000004</v>
      </c>
      <c r="M266" s="103">
        <v>6.68</v>
      </c>
      <c r="N266" s="110">
        <f t="shared" si="51"/>
        <v>15505.215199999999</v>
      </c>
      <c r="O266" s="103">
        <v>6.02</v>
      </c>
      <c r="P266" s="110">
        <f t="shared" si="52"/>
        <v>161085.80879999997</v>
      </c>
      <c r="Q266" s="104"/>
      <c r="R266" s="104"/>
      <c r="S266" s="42">
        <f t="shared" si="45"/>
        <v>341115.07940000005</v>
      </c>
    </row>
    <row r="267" spans="1:19" x14ac:dyDescent="0.25">
      <c r="A267" s="108">
        <v>263</v>
      </c>
      <c r="B267" s="108" t="s">
        <v>299</v>
      </c>
      <c r="C267" s="109">
        <f t="shared" si="46"/>
        <v>9084.5499999999993</v>
      </c>
      <c r="D267" s="109">
        <v>2635.99</v>
      </c>
      <c r="E267" s="109">
        <v>28678.49</v>
      </c>
      <c r="F267" s="109"/>
      <c r="G267" s="109">
        <v>40399.03</v>
      </c>
      <c r="H267" s="109">
        <f t="shared" si="47"/>
        <v>48478.835999999996</v>
      </c>
      <c r="I267" s="110">
        <f t="shared" si="48"/>
        <v>367310.80249999999</v>
      </c>
      <c r="J267" s="111">
        <f t="shared" si="49"/>
        <v>440772.96299999999</v>
      </c>
      <c r="K267" s="101">
        <v>19.489999999999998</v>
      </c>
      <c r="L267" s="110">
        <f t="shared" si="50"/>
        <v>177057.87949999998</v>
      </c>
      <c r="M267" s="103">
        <v>6.68</v>
      </c>
      <c r="N267" s="110">
        <f t="shared" si="51"/>
        <v>17608.413199999999</v>
      </c>
      <c r="O267" s="103">
        <v>6.02</v>
      </c>
      <c r="P267" s="110">
        <f t="shared" si="52"/>
        <v>172644.5098</v>
      </c>
      <c r="Q267" s="104"/>
      <c r="R267" s="104"/>
      <c r="S267" s="42">
        <f t="shared" si="45"/>
        <v>367310.80249999999</v>
      </c>
    </row>
    <row r="268" spans="1:19" ht="15.75" customHeight="1" x14ac:dyDescent="0.25">
      <c r="A268" s="108">
        <v>264</v>
      </c>
      <c r="B268" s="108" t="s">
        <v>300</v>
      </c>
      <c r="C268" s="109">
        <f t="shared" si="46"/>
        <v>18587.019999999997</v>
      </c>
      <c r="D268" s="109">
        <v>5359.98</v>
      </c>
      <c r="E268" s="109">
        <v>50805.4</v>
      </c>
      <c r="F268" s="109"/>
      <c r="G268" s="109">
        <v>74752.399999999994</v>
      </c>
      <c r="H268" s="109">
        <f t="shared" si="47"/>
        <v>89702.87999999999</v>
      </c>
      <c r="I268" s="110">
        <f t="shared" si="48"/>
        <v>703914.19419999979</v>
      </c>
      <c r="J268" s="111">
        <f t="shared" si="49"/>
        <v>844697.03303999978</v>
      </c>
      <c r="K268" s="101">
        <v>19.489999999999998</v>
      </c>
      <c r="L268" s="110">
        <f t="shared" si="50"/>
        <v>362261.01979999989</v>
      </c>
      <c r="M268" s="103">
        <v>6.68</v>
      </c>
      <c r="N268" s="110">
        <f t="shared" si="51"/>
        <v>35804.666399999995</v>
      </c>
      <c r="O268" s="103">
        <v>6.02</v>
      </c>
      <c r="P268" s="110">
        <f t="shared" si="52"/>
        <v>305848.50799999997</v>
      </c>
      <c r="Q268" s="104"/>
      <c r="R268" s="104"/>
      <c r="S268" s="42">
        <f t="shared" si="45"/>
        <v>703914.19419999979</v>
      </c>
    </row>
    <row r="269" spans="1:19" x14ac:dyDescent="0.25">
      <c r="A269" s="108">
        <v>265</v>
      </c>
      <c r="B269" s="108" t="s">
        <v>301</v>
      </c>
      <c r="C269" s="109">
        <f t="shared" si="46"/>
        <v>23106.930000000008</v>
      </c>
      <c r="D269" s="109">
        <v>6052.67</v>
      </c>
      <c r="E269" s="109">
        <v>71782.259999999995</v>
      </c>
      <c r="F269" s="109"/>
      <c r="G269" s="109">
        <v>100941.86</v>
      </c>
      <c r="H269" s="109">
        <f t="shared" si="47"/>
        <v>121130.23199999999</v>
      </c>
      <c r="I269" s="110">
        <f t="shared" si="48"/>
        <v>922915.10649999999</v>
      </c>
      <c r="J269" s="111">
        <f t="shared" si="49"/>
        <v>1107498.1277999999</v>
      </c>
      <c r="K269" s="101">
        <v>19.489999999999998</v>
      </c>
      <c r="L269" s="110">
        <f t="shared" si="50"/>
        <v>450354.06570000009</v>
      </c>
      <c r="M269" s="103">
        <v>6.68</v>
      </c>
      <c r="N269" s="110">
        <f t="shared" si="51"/>
        <v>40431.835599999999</v>
      </c>
      <c r="O269" s="103">
        <v>6.02</v>
      </c>
      <c r="P269" s="110">
        <f t="shared" si="52"/>
        <v>432129.20519999991</v>
      </c>
      <c r="Q269" s="104"/>
      <c r="R269" s="104"/>
      <c r="S269" s="42">
        <f t="shared" si="45"/>
        <v>922915.10649999999</v>
      </c>
    </row>
    <row r="270" spans="1:19" x14ac:dyDescent="0.25">
      <c r="A270" s="108">
        <v>266</v>
      </c>
      <c r="B270" s="108" t="s">
        <v>302</v>
      </c>
      <c r="C270" s="109">
        <f t="shared" si="46"/>
        <v>16185.529999999999</v>
      </c>
      <c r="D270" s="109">
        <v>3958.3</v>
      </c>
      <c r="E270" s="109">
        <v>41313.199999999997</v>
      </c>
      <c r="F270" s="109"/>
      <c r="G270" s="109">
        <v>61457.03</v>
      </c>
      <c r="H270" s="109">
        <f t="shared" si="47"/>
        <v>73748.436000000002</v>
      </c>
      <c r="I270" s="110">
        <f t="shared" si="48"/>
        <v>590602.88769999996</v>
      </c>
      <c r="J270" s="111">
        <f t="shared" si="49"/>
        <v>708723.46523999993</v>
      </c>
      <c r="K270" s="101">
        <v>19.489999999999998</v>
      </c>
      <c r="L270" s="110">
        <f t="shared" si="50"/>
        <v>315455.97969999997</v>
      </c>
      <c r="M270" s="103">
        <v>6.68</v>
      </c>
      <c r="N270" s="110">
        <f t="shared" si="51"/>
        <v>26441.444</v>
      </c>
      <c r="O270" s="103">
        <v>6.02</v>
      </c>
      <c r="P270" s="110">
        <f t="shared" si="52"/>
        <v>248705.46399999998</v>
      </c>
      <c r="Q270" s="104"/>
      <c r="R270" s="104"/>
      <c r="S270" s="42">
        <f t="shared" si="45"/>
        <v>590602.88769999996</v>
      </c>
    </row>
    <row r="271" spans="1:19" x14ac:dyDescent="0.25">
      <c r="A271" s="108">
        <v>267</v>
      </c>
      <c r="B271" s="108" t="s">
        <v>303</v>
      </c>
      <c r="C271" s="109">
        <f t="shared" si="46"/>
        <v>16462.479999999996</v>
      </c>
      <c r="D271" s="109">
        <v>3958.3</v>
      </c>
      <c r="E271" s="109">
        <v>44158.65</v>
      </c>
      <c r="F271" s="109"/>
      <c r="G271" s="109">
        <v>64579.43</v>
      </c>
      <c r="H271" s="109">
        <f t="shared" si="47"/>
        <v>77495.315999999992</v>
      </c>
      <c r="I271" s="110">
        <f t="shared" si="48"/>
        <v>613130.25219999987</v>
      </c>
      <c r="J271" s="111">
        <f t="shared" si="49"/>
        <v>735756.30263999978</v>
      </c>
      <c r="K271" s="101">
        <v>19.489999999999998</v>
      </c>
      <c r="L271" s="110">
        <f t="shared" si="50"/>
        <v>320853.73519999988</v>
      </c>
      <c r="M271" s="103">
        <v>6.68</v>
      </c>
      <c r="N271" s="110">
        <f t="shared" si="51"/>
        <v>26441.444</v>
      </c>
      <c r="O271" s="103">
        <v>6.02</v>
      </c>
      <c r="P271" s="110">
        <f t="shared" si="52"/>
        <v>265835.07299999997</v>
      </c>
      <c r="Q271" s="104"/>
      <c r="R271" s="104"/>
      <c r="S271" s="42">
        <f t="shared" si="45"/>
        <v>613130.25219999987</v>
      </c>
    </row>
    <row r="272" spans="1:19" ht="22.5" x14ac:dyDescent="0.25">
      <c r="A272" s="108">
        <v>268</v>
      </c>
      <c r="B272" s="108" t="s">
        <v>304</v>
      </c>
      <c r="C272" s="109">
        <f t="shared" si="46"/>
        <v>15680.170000000006</v>
      </c>
      <c r="D272" s="109">
        <v>3576.63</v>
      </c>
      <c r="E272" s="109">
        <v>38566.36</v>
      </c>
      <c r="F272" s="109"/>
      <c r="G272" s="109">
        <v>57823.16</v>
      </c>
      <c r="H272" s="109">
        <f t="shared" si="47"/>
        <v>69387.792000000001</v>
      </c>
      <c r="I272" s="110">
        <f t="shared" si="48"/>
        <v>561667.88890000014</v>
      </c>
      <c r="J272" s="111">
        <f t="shared" si="49"/>
        <v>674001.46668000019</v>
      </c>
      <c r="K272" s="101">
        <v>19.489999999999998</v>
      </c>
      <c r="L272" s="110">
        <f t="shared" si="50"/>
        <v>305606.51330000011</v>
      </c>
      <c r="M272" s="103">
        <v>6.68</v>
      </c>
      <c r="N272" s="110">
        <f t="shared" si="51"/>
        <v>23891.8884</v>
      </c>
      <c r="O272" s="103">
        <v>6.02</v>
      </c>
      <c r="P272" s="110">
        <f t="shared" si="52"/>
        <v>232169.48719999997</v>
      </c>
      <c r="Q272" s="104"/>
      <c r="R272" s="104"/>
      <c r="S272" s="42">
        <f t="shared" si="45"/>
        <v>561667.88890000014</v>
      </c>
    </row>
    <row r="273" spans="1:19" ht="22.5" x14ac:dyDescent="0.25">
      <c r="A273" s="108">
        <v>269</v>
      </c>
      <c r="B273" s="108" t="s">
        <v>305</v>
      </c>
      <c r="C273" s="109">
        <f t="shared" si="46"/>
        <v>5129.1200000000008</v>
      </c>
      <c r="D273" s="109">
        <v>943.8</v>
      </c>
      <c r="E273" s="109">
        <v>14703.83</v>
      </c>
      <c r="F273" s="109"/>
      <c r="G273" s="109">
        <v>20776.75</v>
      </c>
      <c r="H273" s="109">
        <f t="shared" si="47"/>
        <v>24932.1</v>
      </c>
      <c r="I273" s="110">
        <f t="shared" si="48"/>
        <v>194788.1894</v>
      </c>
      <c r="J273" s="111">
        <f t="shared" si="49"/>
        <v>233745.82728</v>
      </c>
      <c r="K273" s="101">
        <v>19.489999999999998</v>
      </c>
      <c r="L273" s="110">
        <f t="shared" si="50"/>
        <v>99966.548800000004</v>
      </c>
      <c r="M273" s="103">
        <v>6.68</v>
      </c>
      <c r="N273" s="110">
        <f t="shared" si="51"/>
        <v>6304.5839999999998</v>
      </c>
      <c r="O273" s="103">
        <v>6.02</v>
      </c>
      <c r="P273" s="110">
        <f t="shared" si="52"/>
        <v>88517.056599999996</v>
      </c>
      <c r="Q273" s="104"/>
      <c r="R273" s="104"/>
      <c r="S273" s="42">
        <f t="shared" si="45"/>
        <v>194788.1894</v>
      </c>
    </row>
    <row r="274" spans="1:19" ht="33.75" x14ac:dyDescent="0.25">
      <c r="A274" s="108">
        <v>270</v>
      </c>
      <c r="B274" s="108" t="s">
        <v>306</v>
      </c>
      <c r="C274" s="109">
        <f t="shared" si="46"/>
        <v>29563.699999999997</v>
      </c>
      <c r="D274" s="109">
        <v>8113.23</v>
      </c>
      <c r="E274" s="109">
        <v>79025.440000000002</v>
      </c>
      <c r="F274" s="109"/>
      <c r="G274" s="109">
        <v>116702.37</v>
      </c>
      <c r="H274" s="109">
        <f t="shared" si="47"/>
        <v>140042.84399999998</v>
      </c>
      <c r="I274" s="110">
        <f t="shared" si="48"/>
        <v>1106126.0381999998</v>
      </c>
      <c r="J274" s="111">
        <f t="shared" si="49"/>
        <v>1327351.2458399998</v>
      </c>
      <c r="K274" s="101">
        <v>19.489999999999998</v>
      </c>
      <c r="L274" s="110">
        <f t="shared" si="50"/>
        <v>576196.51299999992</v>
      </c>
      <c r="M274" s="103">
        <v>6.68</v>
      </c>
      <c r="N274" s="110">
        <f t="shared" si="51"/>
        <v>54196.376399999994</v>
      </c>
      <c r="O274" s="103">
        <v>6.02</v>
      </c>
      <c r="P274" s="110">
        <f t="shared" si="52"/>
        <v>475733.14879999997</v>
      </c>
      <c r="Q274" s="104"/>
      <c r="R274" s="104"/>
      <c r="S274" s="42">
        <f t="shared" si="45"/>
        <v>1106126.0381999998</v>
      </c>
    </row>
    <row r="275" spans="1:19" x14ac:dyDescent="0.25">
      <c r="A275" s="108">
        <v>271</v>
      </c>
      <c r="B275" s="108" t="s">
        <v>307</v>
      </c>
      <c r="C275" s="109">
        <f t="shared" si="46"/>
        <v>12353.359999999997</v>
      </c>
      <c r="D275" s="109">
        <v>3895.72</v>
      </c>
      <c r="E275" s="109">
        <v>22502.3</v>
      </c>
      <c r="F275" s="109"/>
      <c r="G275" s="109">
        <v>38751.379999999997</v>
      </c>
      <c r="H275" s="109">
        <f t="shared" si="47"/>
        <v>46501.655999999995</v>
      </c>
      <c r="I275" s="110">
        <f t="shared" si="48"/>
        <v>402254.24199999985</v>
      </c>
      <c r="J275" s="111">
        <f t="shared" si="49"/>
        <v>482705.09039999981</v>
      </c>
      <c r="K275" s="101">
        <v>19.489999999999998</v>
      </c>
      <c r="L275" s="110">
        <f t="shared" si="50"/>
        <v>240766.98639999991</v>
      </c>
      <c r="M275" s="103">
        <v>6.68</v>
      </c>
      <c r="N275" s="110">
        <f t="shared" si="51"/>
        <v>26023.409599999999</v>
      </c>
      <c r="O275" s="103">
        <v>6.02</v>
      </c>
      <c r="P275" s="110">
        <f t="shared" si="52"/>
        <v>135463.84599999999</v>
      </c>
      <c r="Q275" s="104"/>
      <c r="R275" s="104"/>
      <c r="S275" s="42">
        <f t="shared" si="45"/>
        <v>402254.24199999985</v>
      </c>
    </row>
    <row r="276" spans="1:19" x14ac:dyDescent="0.25">
      <c r="A276" s="108">
        <v>272</v>
      </c>
      <c r="B276" s="108" t="s">
        <v>308</v>
      </c>
      <c r="C276" s="109">
        <f t="shared" si="46"/>
        <v>12451.2</v>
      </c>
      <c r="D276" s="109">
        <v>3913.2</v>
      </c>
      <c r="E276" s="109">
        <v>23615.8</v>
      </c>
      <c r="F276" s="109"/>
      <c r="G276" s="109">
        <v>39980.199999999997</v>
      </c>
      <c r="H276" s="109">
        <f t="shared" si="47"/>
        <v>47976.24</v>
      </c>
      <c r="I276" s="110">
        <f t="shared" si="48"/>
        <v>410981.18</v>
      </c>
      <c r="J276" s="111">
        <f t="shared" si="49"/>
        <v>493177.41599999997</v>
      </c>
      <c r="K276" s="101">
        <v>19.489999999999998</v>
      </c>
      <c r="L276" s="110">
        <f t="shared" si="50"/>
        <v>242673.88800000001</v>
      </c>
      <c r="M276" s="103">
        <v>6.68</v>
      </c>
      <c r="N276" s="110">
        <f t="shared" si="51"/>
        <v>26140.175999999999</v>
      </c>
      <c r="O276" s="103">
        <v>6.02</v>
      </c>
      <c r="P276" s="110">
        <f t="shared" si="52"/>
        <v>142167.11599999998</v>
      </c>
      <c r="Q276" s="104"/>
      <c r="R276" s="104"/>
      <c r="S276" s="42">
        <f t="shared" si="45"/>
        <v>410981.18</v>
      </c>
    </row>
    <row r="277" spans="1:19" x14ac:dyDescent="0.25">
      <c r="A277" s="108">
        <v>273</v>
      </c>
      <c r="B277" s="108" t="s">
        <v>309</v>
      </c>
      <c r="C277" s="109">
        <f t="shared" si="46"/>
        <v>12738.779999999999</v>
      </c>
      <c r="D277" s="109">
        <v>3899.01</v>
      </c>
      <c r="E277" s="109">
        <v>25934.33</v>
      </c>
      <c r="F277" s="109"/>
      <c r="G277" s="109">
        <v>42572.12</v>
      </c>
      <c r="H277" s="109">
        <f t="shared" si="47"/>
        <v>51086.544000000002</v>
      </c>
      <c r="I277" s="110">
        <f t="shared" si="48"/>
        <v>430448.87559999997</v>
      </c>
      <c r="J277" s="111">
        <f t="shared" si="49"/>
        <v>516538.65071999992</v>
      </c>
      <c r="K277" s="101">
        <v>19.489999999999998</v>
      </c>
      <c r="L277" s="110">
        <f t="shared" si="50"/>
        <v>248278.82219999997</v>
      </c>
      <c r="M277" s="103">
        <v>6.68</v>
      </c>
      <c r="N277" s="110">
        <f t="shared" si="51"/>
        <v>26045.3868</v>
      </c>
      <c r="O277" s="103">
        <v>6.02</v>
      </c>
      <c r="P277" s="110">
        <f t="shared" si="52"/>
        <v>156124.6666</v>
      </c>
      <c r="Q277" s="104"/>
      <c r="R277" s="104"/>
      <c r="S277" s="42">
        <f t="shared" si="45"/>
        <v>430448.87559999997</v>
      </c>
    </row>
    <row r="278" spans="1:19" x14ac:dyDescent="0.25">
      <c r="A278" s="108">
        <v>274</v>
      </c>
      <c r="B278" s="108" t="s">
        <v>310</v>
      </c>
      <c r="C278" s="109">
        <f t="shared" si="46"/>
        <v>12775.919999999998</v>
      </c>
      <c r="D278" s="109">
        <v>3899.01</v>
      </c>
      <c r="E278" s="109">
        <v>26841.53</v>
      </c>
      <c r="F278" s="109"/>
      <c r="G278" s="109">
        <v>43516.46</v>
      </c>
      <c r="H278" s="109">
        <f t="shared" si="47"/>
        <v>52219.752</v>
      </c>
      <c r="I278" s="110">
        <f t="shared" si="48"/>
        <v>436634.07819999993</v>
      </c>
      <c r="J278" s="111">
        <f t="shared" si="49"/>
        <v>523960.89383999992</v>
      </c>
      <c r="K278" s="101">
        <v>19.489999999999998</v>
      </c>
      <c r="L278" s="110">
        <f t="shared" si="50"/>
        <v>249002.68079999994</v>
      </c>
      <c r="M278" s="103">
        <v>6.68</v>
      </c>
      <c r="N278" s="110">
        <f t="shared" si="51"/>
        <v>26045.3868</v>
      </c>
      <c r="O278" s="103">
        <v>6.02</v>
      </c>
      <c r="P278" s="110">
        <f t="shared" si="52"/>
        <v>161586.01059999998</v>
      </c>
      <c r="Q278" s="104"/>
      <c r="R278" s="104"/>
      <c r="S278" s="42">
        <f t="shared" si="45"/>
        <v>436634.07819999993</v>
      </c>
    </row>
    <row r="279" spans="1:19" x14ac:dyDescent="0.25">
      <c r="A279" s="108">
        <v>275</v>
      </c>
      <c r="B279" s="108" t="s">
        <v>311</v>
      </c>
      <c r="C279" s="109">
        <f t="shared" si="46"/>
        <v>12910.079999999998</v>
      </c>
      <c r="D279" s="109">
        <v>3895.72</v>
      </c>
      <c r="E279" s="109">
        <v>28187.45</v>
      </c>
      <c r="F279" s="109"/>
      <c r="G279" s="109">
        <v>44993.25</v>
      </c>
      <c r="H279" s="109">
        <f t="shared" si="47"/>
        <v>53991.9</v>
      </c>
      <c r="I279" s="110">
        <f t="shared" si="48"/>
        <v>447329.31779999996</v>
      </c>
      <c r="J279" s="111">
        <f t="shared" si="49"/>
        <v>536795.18135999993</v>
      </c>
      <c r="K279" s="101">
        <v>19.489999999999998</v>
      </c>
      <c r="L279" s="110">
        <f t="shared" si="50"/>
        <v>251617.45919999995</v>
      </c>
      <c r="M279" s="103">
        <v>6.68</v>
      </c>
      <c r="N279" s="110">
        <f t="shared" si="51"/>
        <v>26023.409599999999</v>
      </c>
      <c r="O279" s="103">
        <v>6.02</v>
      </c>
      <c r="P279" s="110">
        <f t="shared" si="52"/>
        <v>169688.44899999999</v>
      </c>
      <c r="Q279" s="104"/>
      <c r="R279" s="104"/>
      <c r="S279" s="42">
        <f t="shared" si="45"/>
        <v>447329.31779999996</v>
      </c>
    </row>
    <row r="280" spans="1:19" x14ac:dyDescent="0.25">
      <c r="A280" s="108">
        <v>276</v>
      </c>
      <c r="B280" s="108" t="s">
        <v>56</v>
      </c>
      <c r="C280" s="109">
        <f t="shared" si="46"/>
        <v>1779.3999999999999</v>
      </c>
      <c r="D280" s="109">
        <v>698.81</v>
      </c>
      <c r="E280" s="109">
        <v>1976.66</v>
      </c>
      <c r="F280" s="109"/>
      <c r="G280" s="109">
        <v>4454.87</v>
      </c>
      <c r="H280" s="109">
        <f t="shared" si="47"/>
        <v>5345.8440000000001</v>
      </c>
      <c r="I280" s="110">
        <f t="shared" si="48"/>
        <v>51248.049999999988</v>
      </c>
      <c r="J280" s="111">
        <f t="shared" si="49"/>
        <v>61497.659999999982</v>
      </c>
      <c r="K280" s="101">
        <v>19.489999999999998</v>
      </c>
      <c r="L280" s="110">
        <f t="shared" si="50"/>
        <v>34680.505999999994</v>
      </c>
      <c r="M280" s="103">
        <v>6.68</v>
      </c>
      <c r="N280" s="110">
        <f t="shared" si="51"/>
        <v>4668.0507999999991</v>
      </c>
      <c r="O280" s="103">
        <v>6.02</v>
      </c>
      <c r="P280" s="110">
        <f t="shared" si="52"/>
        <v>11899.493199999999</v>
      </c>
      <c r="Q280" s="104"/>
      <c r="R280" s="104"/>
      <c r="S280" s="42">
        <f t="shared" si="45"/>
        <v>51248.049999999988</v>
      </c>
    </row>
    <row r="281" spans="1:19" x14ac:dyDescent="0.25">
      <c r="A281" s="108">
        <v>277</v>
      </c>
      <c r="B281" s="108" t="s">
        <v>58</v>
      </c>
      <c r="C281" s="109">
        <f t="shared" si="46"/>
        <v>3267.3100000000013</v>
      </c>
      <c r="D281" s="109">
        <v>628.79999999999995</v>
      </c>
      <c r="E281" s="109">
        <v>13292.3</v>
      </c>
      <c r="F281" s="109"/>
      <c r="G281" s="109">
        <v>17188.41</v>
      </c>
      <c r="H281" s="109">
        <f t="shared" si="47"/>
        <v>20626.092000000001</v>
      </c>
      <c r="I281" s="110">
        <f t="shared" si="48"/>
        <v>147899.9019</v>
      </c>
      <c r="J281" s="111">
        <f t="shared" si="49"/>
        <v>177479.88227999999</v>
      </c>
      <c r="K281" s="101">
        <v>19.489999999999998</v>
      </c>
      <c r="L281" s="110">
        <f t="shared" si="50"/>
        <v>63679.87190000002</v>
      </c>
      <c r="M281" s="103">
        <v>6.68</v>
      </c>
      <c r="N281" s="110">
        <f t="shared" si="51"/>
        <v>4200.3839999999991</v>
      </c>
      <c r="O281" s="103">
        <v>6.02</v>
      </c>
      <c r="P281" s="110">
        <f t="shared" si="52"/>
        <v>80019.645999999993</v>
      </c>
      <c r="Q281" s="104"/>
      <c r="R281" s="104"/>
      <c r="S281" s="42">
        <f t="shared" si="45"/>
        <v>147899.9019</v>
      </c>
    </row>
    <row r="282" spans="1:19" x14ac:dyDescent="0.25">
      <c r="A282" s="108">
        <v>278</v>
      </c>
      <c r="B282" s="108" t="s">
        <v>59</v>
      </c>
      <c r="C282" s="109">
        <f t="shared" si="46"/>
        <v>2627.8700000000008</v>
      </c>
      <c r="D282" s="109">
        <v>624.39</v>
      </c>
      <c r="E282" s="109">
        <v>7898.5</v>
      </c>
      <c r="F282" s="109"/>
      <c r="G282" s="109">
        <v>11150.76</v>
      </c>
      <c r="H282" s="109">
        <f t="shared" si="47"/>
        <v>13380.912</v>
      </c>
      <c r="I282" s="110">
        <f t="shared" si="48"/>
        <v>102937.0815</v>
      </c>
      <c r="J282" s="111">
        <f t="shared" si="49"/>
        <v>123524.4978</v>
      </c>
      <c r="K282" s="101">
        <v>19.489999999999998</v>
      </c>
      <c r="L282" s="110">
        <f t="shared" si="50"/>
        <v>51217.186300000008</v>
      </c>
      <c r="M282" s="103">
        <v>6.68</v>
      </c>
      <c r="N282" s="110">
        <f t="shared" si="51"/>
        <v>4170.9251999999997</v>
      </c>
      <c r="O282" s="103">
        <v>6.02</v>
      </c>
      <c r="P282" s="110">
        <f t="shared" si="52"/>
        <v>47548.969999999994</v>
      </c>
      <c r="Q282" s="104"/>
      <c r="R282" s="104"/>
      <c r="S282" s="42">
        <f t="shared" si="45"/>
        <v>102937.0815</v>
      </c>
    </row>
    <row r="283" spans="1:19" x14ac:dyDescent="0.25">
      <c r="A283" s="108">
        <v>279</v>
      </c>
      <c r="B283" s="108" t="s">
        <v>312</v>
      </c>
      <c r="C283" s="109">
        <f t="shared" si="46"/>
        <v>112863.29000000004</v>
      </c>
      <c r="D283" s="109">
        <v>28755.35</v>
      </c>
      <c r="E283" s="109">
        <v>454019.73</v>
      </c>
      <c r="F283" s="109"/>
      <c r="G283" s="109">
        <v>595638.37</v>
      </c>
      <c r="H283" s="109">
        <f t="shared" si="47"/>
        <v>714766.04399999999</v>
      </c>
      <c r="I283" s="110">
        <f t="shared" si="48"/>
        <v>5124990.0347000007</v>
      </c>
      <c r="J283" s="111">
        <f t="shared" si="49"/>
        <v>6149988.0416400004</v>
      </c>
      <c r="K283" s="101">
        <v>19.489999999999998</v>
      </c>
      <c r="L283" s="110">
        <f t="shared" si="50"/>
        <v>2199705.5221000006</v>
      </c>
      <c r="M283" s="103">
        <v>6.68</v>
      </c>
      <c r="N283" s="110">
        <f t="shared" si="51"/>
        <v>192085.73799999998</v>
      </c>
      <c r="O283" s="103">
        <v>6.02</v>
      </c>
      <c r="P283" s="110">
        <f t="shared" si="52"/>
        <v>2733198.7745999997</v>
      </c>
      <c r="Q283" s="104"/>
      <c r="R283" s="104"/>
      <c r="S283" s="42">
        <f t="shared" si="45"/>
        <v>5124990.0347000007</v>
      </c>
    </row>
    <row r="284" spans="1:19" ht="22.5" x14ac:dyDescent="0.25">
      <c r="A284" s="108">
        <v>280</v>
      </c>
      <c r="B284" s="108" t="s">
        <v>45</v>
      </c>
      <c r="C284" s="109">
        <f t="shared" si="46"/>
        <v>75770.370000000024</v>
      </c>
      <c r="D284" s="109">
        <v>24845.99</v>
      </c>
      <c r="E284" s="109">
        <v>225145.48</v>
      </c>
      <c r="F284" s="109"/>
      <c r="G284" s="109">
        <v>325761.84000000003</v>
      </c>
      <c r="H284" s="109">
        <f t="shared" si="47"/>
        <v>390914.20800000004</v>
      </c>
      <c r="I284" s="110">
        <f t="shared" si="48"/>
        <v>2998111.5141000003</v>
      </c>
      <c r="J284" s="111">
        <f t="shared" si="49"/>
        <v>3597733.8169200001</v>
      </c>
      <c r="K284" s="101">
        <v>19.489999999999998</v>
      </c>
      <c r="L284" s="110">
        <f t="shared" si="50"/>
        <v>1476764.5113000004</v>
      </c>
      <c r="M284" s="103">
        <v>6.68</v>
      </c>
      <c r="N284" s="110">
        <f t="shared" si="51"/>
        <v>165971.2132</v>
      </c>
      <c r="O284" s="103">
        <v>6.02</v>
      </c>
      <c r="P284" s="110">
        <f t="shared" si="52"/>
        <v>1355375.7896</v>
      </c>
      <c r="Q284" s="104"/>
      <c r="R284" s="104"/>
      <c r="S284" s="42">
        <f t="shared" si="45"/>
        <v>2998111.5141000003</v>
      </c>
    </row>
    <row r="285" spans="1:19" x14ac:dyDescent="0.25">
      <c r="A285" s="108">
        <v>281</v>
      </c>
      <c r="B285" s="108" t="s">
        <v>313</v>
      </c>
      <c r="C285" s="109">
        <f t="shared" si="46"/>
        <v>411.16000000000031</v>
      </c>
      <c r="D285" s="109">
        <v>128.27000000000001</v>
      </c>
      <c r="E285" s="109">
        <v>2769.24</v>
      </c>
      <c r="F285" s="109"/>
      <c r="G285" s="109">
        <v>3308.67</v>
      </c>
      <c r="H285" s="109">
        <f t="shared" si="47"/>
        <v>3970.404</v>
      </c>
      <c r="I285" s="110">
        <f t="shared" si="48"/>
        <v>25541.176800000001</v>
      </c>
      <c r="J285" s="111">
        <f t="shared" si="49"/>
        <v>30649.41216</v>
      </c>
      <c r="K285" s="101">
        <v>19.489999999999998</v>
      </c>
      <c r="L285" s="110">
        <f t="shared" si="50"/>
        <v>8013.5084000000052</v>
      </c>
      <c r="M285" s="103">
        <v>6.68</v>
      </c>
      <c r="N285" s="110">
        <f t="shared" si="51"/>
        <v>856.84360000000004</v>
      </c>
      <c r="O285" s="103">
        <v>6.02</v>
      </c>
      <c r="P285" s="110">
        <f t="shared" si="52"/>
        <v>16670.824799999999</v>
      </c>
      <c r="Q285" s="104"/>
      <c r="R285" s="104"/>
      <c r="S285" s="42">
        <f t="shared" si="45"/>
        <v>25541.176800000001</v>
      </c>
    </row>
    <row r="286" spans="1:19" x14ac:dyDescent="0.25">
      <c r="A286" s="108">
        <v>282</v>
      </c>
      <c r="B286" s="108" t="s">
        <v>57</v>
      </c>
      <c r="C286" s="109">
        <f t="shared" si="46"/>
        <v>59736.06</v>
      </c>
      <c r="D286" s="109">
        <v>25313.14</v>
      </c>
      <c r="E286" s="109">
        <v>334186.01</v>
      </c>
      <c r="F286" s="109"/>
      <c r="G286" s="109">
        <v>419235.21</v>
      </c>
      <c r="H286" s="109">
        <f t="shared" si="47"/>
        <v>503082.25199999998</v>
      </c>
      <c r="I286" s="110">
        <f t="shared" si="48"/>
        <v>3345147.3647999996</v>
      </c>
      <c r="J286" s="111">
        <f t="shared" si="49"/>
        <v>4014176.8377599996</v>
      </c>
      <c r="K286" s="101">
        <v>19.489999999999998</v>
      </c>
      <c r="L286" s="110">
        <f t="shared" si="50"/>
        <v>1164255.8093999999</v>
      </c>
      <c r="M286" s="103">
        <v>6.68</v>
      </c>
      <c r="N286" s="110">
        <f t="shared" si="51"/>
        <v>169091.77519999997</v>
      </c>
      <c r="O286" s="103">
        <v>6.02</v>
      </c>
      <c r="P286" s="110">
        <f t="shared" si="52"/>
        <v>2011799.7801999999</v>
      </c>
      <c r="Q286" s="104"/>
      <c r="R286" s="104"/>
      <c r="S286" s="42">
        <f t="shared" si="45"/>
        <v>3345147.3647999996</v>
      </c>
    </row>
    <row r="287" spans="1:19" ht="78.75" x14ac:dyDescent="0.25">
      <c r="A287" s="108">
        <v>283</v>
      </c>
      <c r="B287" s="108" t="s">
        <v>333</v>
      </c>
      <c r="C287" s="109">
        <f t="shared" si="46"/>
        <v>1409.87</v>
      </c>
      <c r="D287" s="109">
        <v>126.77</v>
      </c>
      <c r="E287" s="109">
        <v>5230.54</v>
      </c>
      <c r="F287" s="109"/>
      <c r="G287" s="109">
        <v>6767.18</v>
      </c>
      <c r="H287" s="109">
        <f t="shared" si="47"/>
        <v>8120.616</v>
      </c>
      <c r="I287" s="112">
        <f t="shared" si="48"/>
        <v>59813.04069999999</v>
      </c>
      <c r="J287" s="113">
        <f t="shared" si="49"/>
        <v>71775.64883999998</v>
      </c>
      <c r="K287" s="101">
        <v>19.489999999999998</v>
      </c>
      <c r="L287" s="112">
        <f t="shared" si="50"/>
        <v>27478.366299999994</v>
      </c>
      <c r="M287" s="103">
        <v>6.68</v>
      </c>
      <c r="N287" s="112">
        <f t="shared" si="51"/>
        <v>846.82359999999994</v>
      </c>
      <c r="O287" s="103">
        <v>6.02</v>
      </c>
      <c r="P287" s="112">
        <f t="shared" si="52"/>
        <v>31487.850799999997</v>
      </c>
      <c r="Q287" s="104"/>
      <c r="R287" s="104"/>
      <c r="S287" s="42">
        <f t="shared" si="45"/>
        <v>59813.04069999999</v>
      </c>
    </row>
    <row r="288" spans="1:19" x14ac:dyDescent="0.25">
      <c r="A288" s="108">
        <v>284</v>
      </c>
      <c r="B288" s="108" t="s">
        <v>314</v>
      </c>
      <c r="C288" s="109">
        <f t="shared" si="46"/>
        <v>49429.81</v>
      </c>
      <c r="D288" s="109">
        <v>11460.67</v>
      </c>
      <c r="E288" s="109">
        <v>69960.740000000005</v>
      </c>
      <c r="F288" s="109"/>
      <c r="G288" s="109">
        <v>130851.22</v>
      </c>
      <c r="H288" s="109">
        <f t="shared" si="47"/>
        <v>157021.46400000001</v>
      </c>
      <c r="I288" s="110">
        <f t="shared" si="48"/>
        <v>1461107.9273000001</v>
      </c>
      <c r="J288" s="111">
        <f t="shared" si="49"/>
        <v>1753329.5127600001</v>
      </c>
      <c r="K288" s="101">
        <v>19.489999999999998</v>
      </c>
      <c r="L288" s="110">
        <f t="shared" si="50"/>
        <v>963386.99689999991</v>
      </c>
      <c r="M288" s="103">
        <v>6.68</v>
      </c>
      <c r="N288" s="110">
        <f t="shared" si="51"/>
        <v>76557.275599999994</v>
      </c>
      <c r="O288" s="103">
        <v>6.02</v>
      </c>
      <c r="P288" s="110">
        <f t="shared" si="52"/>
        <v>421163.65480000002</v>
      </c>
      <c r="Q288" s="104"/>
      <c r="R288" s="104"/>
      <c r="S288" s="42">
        <f t="shared" si="45"/>
        <v>1461107.9273000001</v>
      </c>
    </row>
    <row r="289" spans="1:19" x14ac:dyDescent="0.25">
      <c r="A289" s="108">
        <v>285</v>
      </c>
      <c r="B289" s="108" t="s">
        <v>315</v>
      </c>
      <c r="C289" s="109">
        <f>G289-D289-E289-F289</f>
        <v>467068.9800000001</v>
      </c>
      <c r="D289" s="109">
        <v>11579</v>
      </c>
      <c r="E289" s="109">
        <v>655732.63</v>
      </c>
      <c r="F289" s="109"/>
      <c r="G289" s="109">
        <v>1134380.6100000001</v>
      </c>
      <c r="H289" s="109">
        <f t="shared" si="47"/>
        <v>1361256.7320000001</v>
      </c>
      <c r="I289" s="110">
        <f>L289+N289+P289</f>
        <v>13128032.572800003</v>
      </c>
      <c r="J289" s="111">
        <f t="shared" si="49"/>
        <v>15753639.087360002</v>
      </c>
      <c r="K289" s="101">
        <v>19.489999999999998</v>
      </c>
      <c r="L289" s="110">
        <f t="shared" si="50"/>
        <v>9103174.4202000014</v>
      </c>
      <c r="M289" s="103">
        <v>6.68</v>
      </c>
      <c r="N289" s="110">
        <f t="shared" si="51"/>
        <v>77347.72</v>
      </c>
      <c r="O289" s="103">
        <v>6.02</v>
      </c>
      <c r="P289" s="110">
        <f t="shared" si="52"/>
        <v>3947510.4325999999</v>
      </c>
      <c r="Q289" s="104"/>
      <c r="R289" s="104"/>
      <c r="S289" s="42">
        <f t="shared" si="45"/>
        <v>13128032.572800003</v>
      </c>
    </row>
    <row r="290" spans="1:19" x14ac:dyDescent="0.25">
      <c r="A290" s="114">
        <v>286</v>
      </c>
      <c r="B290" s="115" t="s">
        <v>329</v>
      </c>
      <c r="C290" s="116">
        <f>G290-D290-E290-F290</f>
        <v>467068.98</v>
      </c>
      <c r="D290" s="116">
        <v>11579</v>
      </c>
      <c r="E290" s="116"/>
      <c r="F290" s="116"/>
      <c r="G290" s="116">
        <v>478647.98</v>
      </c>
      <c r="H290" s="116">
        <f t="shared" si="47"/>
        <v>574377.576</v>
      </c>
      <c r="I290" s="117">
        <f>L290+N290+P290</f>
        <v>9180522.1402000003</v>
      </c>
      <c r="J290" s="118">
        <f t="shared" si="49"/>
        <v>11016626.56824</v>
      </c>
      <c r="K290" s="101">
        <v>19.489999999999998</v>
      </c>
      <c r="L290" s="117">
        <f t="shared" si="50"/>
        <v>9103174.4201999996</v>
      </c>
      <c r="M290" s="119">
        <v>6.68</v>
      </c>
      <c r="N290" s="117">
        <f t="shared" si="51"/>
        <v>77347.72</v>
      </c>
      <c r="O290" s="119">
        <v>6.02</v>
      </c>
      <c r="P290" s="117">
        <f t="shared" si="52"/>
        <v>0</v>
      </c>
      <c r="Q290" s="120"/>
      <c r="R290" s="120"/>
      <c r="S290" s="42">
        <f t="shared" si="45"/>
        <v>9180522.1402000003</v>
      </c>
    </row>
    <row r="291" spans="1:19" ht="22.5" x14ac:dyDescent="0.25">
      <c r="A291" s="108">
        <v>287</v>
      </c>
      <c r="B291" s="108" t="s">
        <v>350</v>
      </c>
      <c r="C291" s="109">
        <f>G291-D291-E291-F291</f>
        <v>14709.75</v>
      </c>
      <c r="D291" s="109">
        <v>7397.56</v>
      </c>
      <c r="E291" s="109"/>
      <c r="F291" s="109"/>
      <c r="G291" s="109">
        <v>22107.31</v>
      </c>
      <c r="H291" s="109">
        <f t="shared" si="47"/>
        <v>26528.772000000001</v>
      </c>
      <c r="I291" s="121">
        <f>L291+N291+P291</f>
        <v>336108.72829999996</v>
      </c>
      <c r="J291" s="122">
        <f t="shared" si="49"/>
        <v>403330.47395999992</v>
      </c>
      <c r="K291" s="101">
        <v>19.489999999999998</v>
      </c>
      <c r="L291" s="121">
        <f t="shared" si="50"/>
        <v>286693.02749999997</v>
      </c>
      <c r="M291" s="123">
        <v>6.68</v>
      </c>
      <c r="N291" s="121">
        <f t="shared" si="51"/>
        <v>49415.700799999999</v>
      </c>
      <c r="O291" s="123">
        <v>6.02</v>
      </c>
      <c r="P291" s="121">
        <f t="shared" si="52"/>
        <v>0</v>
      </c>
      <c r="Q291" s="124"/>
      <c r="R291" s="124"/>
      <c r="S291" s="42">
        <f t="shared" si="45"/>
        <v>336108.72829999996</v>
      </c>
    </row>
    <row r="292" spans="1:19" ht="22.5" x14ac:dyDescent="0.25">
      <c r="A292" s="108">
        <v>287</v>
      </c>
      <c r="B292" s="108" t="s">
        <v>351</v>
      </c>
      <c r="C292" s="109">
        <f>G292-D292-E292-F292</f>
        <v>16806.739999999998</v>
      </c>
      <c r="D292" s="109">
        <v>9409.92</v>
      </c>
      <c r="E292" s="109"/>
      <c r="F292" s="109"/>
      <c r="G292" s="109">
        <v>26216.66</v>
      </c>
      <c r="H292" s="109">
        <f t="shared" si="47"/>
        <v>31459.991999999998</v>
      </c>
      <c r="I292" s="121">
        <f>L292+N292+P292</f>
        <v>390421.62819999992</v>
      </c>
      <c r="J292" s="122">
        <f t="shared" si="49"/>
        <v>468505.95383999991</v>
      </c>
      <c r="K292" s="101">
        <v>19.489999999999998</v>
      </c>
      <c r="L292" s="121">
        <f t="shared" si="50"/>
        <v>327563.36259999993</v>
      </c>
      <c r="M292" s="123">
        <v>6.68</v>
      </c>
      <c r="N292" s="121">
        <f t="shared" si="51"/>
        <v>62858.265599999999</v>
      </c>
      <c r="O292" s="123">
        <v>6.02</v>
      </c>
      <c r="P292" s="121">
        <f t="shared" si="52"/>
        <v>0</v>
      </c>
      <c r="Q292" s="124"/>
      <c r="R292" s="124"/>
      <c r="S292" s="42">
        <f t="shared" si="45"/>
        <v>390421.62819999992</v>
      </c>
    </row>
    <row r="293" spans="1:19" x14ac:dyDescent="0.25">
      <c r="A293" s="108">
        <v>288</v>
      </c>
      <c r="B293" s="127" t="s">
        <v>330</v>
      </c>
      <c r="C293" s="104">
        <v>0</v>
      </c>
      <c r="D293" s="104">
        <v>0</v>
      </c>
      <c r="E293" s="104">
        <v>0</v>
      </c>
      <c r="F293" s="104">
        <v>0</v>
      </c>
      <c r="G293" s="104">
        <v>0</v>
      </c>
      <c r="H293" s="104">
        <v>0</v>
      </c>
      <c r="I293" s="104">
        <v>0</v>
      </c>
      <c r="J293" s="104">
        <v>0</v>
      </c>
      <c r="K293" s="104">
        <v>0</v>
      </c>
      <c r="L293" s="104">
        <v>0</v>
      </c>
      <c r="M293" s="104">
        <v>0</v>
      </c>
      <c r="N293" s="104">
        <v>0</v>
      </c>
      <c r="O293" s="104">
        <v>0</v>
      </c>
      <c r="P293" s="104">
        <v>0</v>
      </c>
      <c r="Q293" s="104">
        <v>0</v>
      </c>
      <c r="R293" s="104">
        <v>0</v>
      </c>
      <c r="S293" s="104">
        <v>0</v>
      </c>
    </row>
  </sheetData>
  <autoFilter ref="A2:R293" xr:uid="{00000000-0009-0000-0000-000001000000}"/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 ИП</vt:lpstr>
      <vt:lpstr>Наименование работ</vt:lpstr>
      <vt:lpstr>'Наименование работ'!Область_печати</vt:lpstr>
      <vt:lpstr>'Расчет стоимости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Копылова Алёна Сергеевна</cp:lastModifiedBy>
  <cp:lastPrinted>2022-10-17T11:16:39Z</cp:lastPrinted>
  <dcterms:created xsi:type="dcterms:W3CDTF">2021-07-06T05:30:42Z</dcterms:created>
  <dcterms:modified xsi:type="dcterms:W3CDTF">2024-02-21T08:19:53Z</dcterms:modified>
</cp:coreProperties>
</file>