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2-1-17-1-08-03-0-1093\"/>
    </mc:Choice>
  </mc:AlternateContent>
  <xr:revisionPtr revIDLastSave="0" documentId="13_ncr:1_{662C951E-0762-4AE0-8D28-AD0CA02D0026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3" i="4" l="1"/>
  <c r="H22" i="4"/>
  <c r="H21" i="4"/>
  <c r="H20" i="4"/>
  <c r="H29" i="4"/>
  <c r="H28" i="4"/>
  <c r="H27" i="4"/>
  <c r="H26" i="4"/>
  <c r="H25" i="4"/>
  <c r="P290" i="5"/>
  <c r="N290" i="5"/>
  <c r="H290" i="5"/>
  <c r="C290" i="5"/>
  <c r="L290" i="5" s="1"/>
  <c r="P289" i="5"/>
  <c r="N289" i="5"/>
  <c r="H289" i="5"/>
  <c r="C289" i="5"/>
  <c r="L289" i="5" s="1"/>
  <c r="I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N285" i="5"/>
  <c r="I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I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P226" i="5"/>
  <c r="N226" i="5"/>
  <c r="H226" i="5"/>
  <c r="C226" i="5"/>
  <c r="L226" i="5" s="1"/>
  <c r="I226" i="5" s="1"/>
  <c r="P225" i="5"/>
  <c r="N225" i="5"/>
  <c r="H225" i="5"/>
  <c r="C225" i="5"/>
  <c r="L225" i="5" s="1"/>
  <c r="P224" i="5"/>
  <c r="N224" i="5"/>
  <c r="H224" i="5"/>
  <c r="C224" i="5"/>
  <c r="L224" i="5" s="1"/>
  <c r="I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I221" i="5" s="1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I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P155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I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I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P105" i="5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P97" i="5"/>
  <c r="N97" i="5"/>
  <c r="I97" i="5" s="1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I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I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I60" i="5" s="1"/>
  <c r="R59" i="5"/>
  <c r="P59" i="5"/>
  <c r="N59" i="5"/>
  <c r="L59" i="5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I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I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I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20" i="5" l="1"/>
  <c r="I45" i="5"/>
  <c r="I76" i="5"/>
  <c r="I203" i="5"/>
  <c r="I207" i="5"/>
  <c r="I209" i="5"/>
  <c r="S209" i="5" s="1"/>
  <c r="I256" i="5"/>
  <c r="I286" i="5"/>
  <c r="I290" i="5"/>
  <c r="I225" i="5"/>
  <c r="I229" i="5"/>
  <c r="I231" i="5"/>
  <c r="I237" i="5"/>
  <c r="I245" i="5"/>
  <c r="I223" i="5"/>
  <c r="S223" i="5" s="1"/>
  <c r="I227" i="5"/>
  <c r="I25" i="5"/>
  <c r="I39" i="5"/>
  <c r="I47" i="5"/>
  <c r="J47" i="5" s="1"/>
  <c r="I59" i="5"/>
  <c r="I249" i="5"/>
  <c r="I251" i="5"/>
  <c r="I255" i="5"/>
  <c r="S255" i="5" s="1"/>
  <c r="I261" i="5"/>
  <c r="S261" i="5" s="1"/>
  <c r="I263" i="5"/>
  <c r="I265" i="5"/>
  <c r="I271" i="5"/>
  <c r="J271" i="5" s="1"/>
  <c r="I239" i="5"/>
  <c r="I5" i="5"/>
  <c r="S5" i="5" s="1"/>
  <c r="I28" i="5"/>
  <c r="I55" i="5"/>
  <c r="S55" i="5" s="1"/>
  <c r="S47" i="5"/>
  <c r="J45" i="5"/>
  <c r="S45" i="5"/>
  <c r="J209" i="5"/>
  <c r="J138" i="5"/>
  <c r="S138" i="5"/>
  <c r="J71" i="5"/>
  <c r="S71" i="5"/>
  <c r="J245" i="5"/>
  <c r="S245" i="5"/>
  <c r="J130" i="5"/>
  <c r="S130" i="5"/>
  <c r="J263" i="5"/>
  <c r="S263" i="5"/>
  <c r="J173" i="5"/>
  <c r="S173" i="5"/>
  <c r="J207" i="5"/>
  <c r="S207" i="5"/>
  <c r="J237" i="5"/>
  <c r="S237" i="5"/>
  <c r="J39" i="5"/>
  <c r="S39" i="5"/>
  <c r="J261" i="5"/>
  <c r="J97" i="5"/>
  <c r="S97" i="5"/>
  <c r="J5" i="5"/>
  <c r="I16" i="5"/>
  <c r="I23" i="5"/>
  <c r="I46" i="5"/>
  <c r="I69" i="5"/>
  <c r="P81" i="5"/>
  <c r="C85" i="5"/>
  <c r="L85" i="5" s="1"/>
  <c r="I85" i="5" s="1"/>
  <c r="I141" i="5"/>
  <c r="I190" i="5"/>
  <c r="I210" i="5"/>
  <c r="I213" i="5"/>
  <c r="I277" i="5"/>
  <c r="J198" i="5"/>
  <c r="S198" i="5"/>
  <c r="P107" i="5"/>
  <c r="I107" i="5" s="1"/>
  <c r="P115" i="5"/>
  <c r="P152" i="5"/>
  <c r="P190" i="5"/>
  <c r="J251" i="5"/>
  <c r="S251" i="5"/>
  <c r="J27" i="5"/>
  <c r="S27" i="5"/>
  <c r="J224" i="5"/>
  <c r="S224" i="5"/>
  <c r="J11" i="5"/>
  <c r="S11" i="5"/>
  <c r="J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J286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J227" i="5"/>
  <c r="S227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S63" i="5"/>
  <c r="C80" i="5"/>
  <c r="L80" i="5" s="1"/>
  <c r="I80" i="5" s="1"/>
  <c r="C109" i="5"/>
  <c r="L109" i="5" s="1"/>
  <c r="C158" i="5"/>
  <c r="L158" i="5" s="1"/>
  <c r="J249" i="5"/>
  <c r="S249" i="5"/>
  <c r="I31" i="5"/>
  <c r="J76" i="5"/>
  <c r="S76" i="5"/>
  <c r="J203" i="5"/>
  <c r="S203" i="5"/>
  <c r="J220" i="5"/>
  <c r="S220" i="5"/>
  <c r="J226" i="5"/>
  <c r="S226" i="5"/>
  <c r="J229" i="5"/>
  <c r="S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I4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I128" i="5" s="1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75" i="5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P189" i="5"/>
  <c r="C195" i="5"/>
  <c r="L195" i="5" s="1"/>
  <c r="P195" i="5"/>
  <c r="I208" i="5"/>
  <c r="I244" i="5"/>
  <c r="I276" i="5"/>
  <c r="C167" i="5"/>
  <c r="L167" i="5" s="1"/>
  <c r="P167" i="5"/>
  <c r="I169" i="5"/>
  <c r="C187" i="5"/>
  <c r="L187" i="5" s="1"/>
  <c r="P187" i="5"/>
  <c r="C188" i="5"/>
  <c r="L188" i="5" s="1"/>
  <c r="P188" i="5"/>
  <c r="I189" i="5"/>
  <c r="J255" i="5" l="1"/>
  <c r="J223" i="5"/>
  <c r="S271" i="5"/>
  <c r="I168" i="5"/>
  <c r="I162" i="5"/>
  <c r="I178" i="5"/>
  <c r="J178" i="5" s="1"/>
  <c r="I185" i="5"/>
  <c r="J80" i="5"/>
  <c r="S80" i="5"/>
  <c r="J116" i="5"/>
  <c r="S116" i="5"/>
  <c r="J159" i="5"/>
  <c r="S159" i="5"/>
  <c r="J107" i="5"/>
  <c r="S107" i="5"/>
  <c r="H19" i="4" s="1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H18" i="4" s="1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2" i="5"/>
  <c r="S162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S178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H17" i="4" s="1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G29" i="4" l="1"/>
  <c r="F29" i="4"/>
  <c r="E29" i="4"/>
  <c r="D29" i="4"/>
  <c r="P18" i="4" l="1"/>
  <c r="P30" i="4" l="1"/>
  <c r="P32" i="4" l="1"/>
  <c r="F41" i="4" l="1"/>
  <c r="P16" i="4"/>
  <c r="K41" i="4" l="1"/>
  <c r="P33" i="4"/>
  <c r="P31" i="4"/>
  <c r="F40" i="4" s="1"/>
  <c r="K40" i="4" s="1"/>
  <c r="M40" i="4" l="1"/>
  <c r="T47" i="4"/>
  <c r="M41" i="4"/>
  <c r="U47" i="4"/>
  <c r="P29" i="4"/>
  <c r="P34" i="4"/>
  <c r="F39" i="4"/>
  <c r="K39" i="4" l="1"/>
  <c r="S47" i="4" s="1"/>
  <c r="F46" i="4"/>
  <c r="F44" i="4"/>
  <c r="F47" i="4"/>
  <c r="F45" i="4"/>
  <c r="F43" i="4"/>
  <c r="K42" i="4" l="1"/>
  <c r="M39" i="4"/>
  <c r="M42" i="4" l="1"/>
  <c r="V47" i="4"/>
  <c r="F48" i="4"/>
  <c r="K48" i="4" l="1"/>
  <c r="W47" i="4" s="1"/>
  <c r="M48" i="4"/>
  <c r="W48" i="4" s="1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<sst xmlns="http://schemas.openxmlformats.org/spreadsheetml/2006/main" count="407" uniqueCount="366">
  <si>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</si>
  <si>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</si>
  <si>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</si>
  <si>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</si>
  <si>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</si>
  <si>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</si>
  <si>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</si>
  <si>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</si>
  <si>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</si>
  <si>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</si>
  <si>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</si>
  <si>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</si>
  <si>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</si>
  <si>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</si>
  <si>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</si>
  <si>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</si>
  <si>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</si>
  <si>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</si>
  <si>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</si>
  <si>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</si>
  <si>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</si>
  <si>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</si>
  <si>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</si>
  <si>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</si>
  <si>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</si>
  <si>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</si>
  <si>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</si>
  <si>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</si>
  <si>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</si>
  <si>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</si>
  <si>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</si>
  <si>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</si>
  <si>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</si>
  <si>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</si>
  <si>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</si>
  <si>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</si>
  <si>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</si>
  <si>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</si>
  <si>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</si>
  <si>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</si>
  <si>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</si>
  <si>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</si>
  <si>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</si>
  <si>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</si>
  <si>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</si>
  <si>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</si>
  <si>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</si>
  <si>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</si>
  <si>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</si>
  <si>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</si>
  <si>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</si>
  <si>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</si>
  <si>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</si>
  <si>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</si>
  <si>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</si>
  <si>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</si>
  <si>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</si>
  <si>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</si>
  <si>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</si>
  <si>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</si>
  <si>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</si>
  <si>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</si>
  <si>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</si>
  <si>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</si>
  <si>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</si>
  <si>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</si>
  <si>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</si>
  <si>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</si>
  <si>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</si>
  <si>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</si>
  <si>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</si>
  <si>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</si>
  <si>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</si>
  <si>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</si>
  <si>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</si>
  <si>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</si>
  <si>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</si>
  <si>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</si>
  <si>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</si>
  <si>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</si>
  <si>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</si>
  <si>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</si>
  <si>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</si>
  <si>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</si>
  <si>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</si>
  <si>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</si>
  <si>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</si>
  <si>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</si>
  <si>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</si>
  <si>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</si>
  <si>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</si>
  <si>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</si>
  <si>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</si>
  <si>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</si>
  <si>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</si>
  <si>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</si>
  <si>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</si>
  <si>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</si>
  <si>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</si>
  <si>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</si>
  <si>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</si>
  <si>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</si>
  <si>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</si>
  <si>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</si>
  <si>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</si>
  <si>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</si>
  <si>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</si>
  <si>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</si>
  <si>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</si>
  <si>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</si>
  <si>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</si>
  <si>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</si>
  <si>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</si>
  <si>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</si>
  <si>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</si>
  <si>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</si>
  <si>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</si>
  <si>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</si>
  <si>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</si>
  <si>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</si>
  <si>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</si>
  <si>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</si>
  <si>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</si>
  <si>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</si>
  <si>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</si>
  <si>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</si>
  <si>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</si>
  <si>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</si>
  <si>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</si>
  <si>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</si>
  <si>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</si>
  <si>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</si>
  <si>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</si>
  <si>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</si>
  <si>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</si>
  <si>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</si>
  <si>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</si>
  <si>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</si>
  <si>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</si>
  <si>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</si>
  <si>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</si>
  <si>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</si>
  <si>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</si>
  <si>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</si>
  <si>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</si>
  <si>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</si>
  <si>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</si>
  <si>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</si>
  <si>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</si>
  <si>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</si>
  <si>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</si>
  <si>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</si>
  <si>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</si>
  <si>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</si>
  <si>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</si>
  <si>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</si>
  <si>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</si>
  <si>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</si>
  <si>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</si>
  <si>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</si>
  <si>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</si>
  <si>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</si>
  <si>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</si>
  <si>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</si>
  <si>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</si>
  <si>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</si>
  <si>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</si>
  <si>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</si>
  <si>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</si>
  <si>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</si>
  <si>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</si>
  <si>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</si>
  <si>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</si>
  <si>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</si>
  <si>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</si>
  <si>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</si>
  <si>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</si>
  <si>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</si>
  <si>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</si>
  <si>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</si>
  <si>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</si>
  <si>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</si>
  <si>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</si>
  <si>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</si>
  <si>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</si>
  <si>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</si>
  <si>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</si>
  <si>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</si>
  <si>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</si>
  <si>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</si>
  <si>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</si>
  <si>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</si>
  <si>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</si>
  <si>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</si>
  <si>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</si>
  <si>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</si>
  <si>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</si>
  <si>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</si>
  <si>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</si>
  <si>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</si>
  <si>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</si>
  <si>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</si>
  <si>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</si>
  <si>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</si>
  <si>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</si>
  <si>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</si>
  <si>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</si>
  <si>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</si>
  <si>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</si>
  <si>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</si>
  <si>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</si>
  <si>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</si>
  <si>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</si>
  <si>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</si>
  <si>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</si>
  <si>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</si>
  <si>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</si>
  <si>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</si>
  <si>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</si>
  <si>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</si>
  <si>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</si>
  <si>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</si>
  <si>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</si>
  <si>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</si>
  <si>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</si>
  <si>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</si>
  <si>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</si>
  <si>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</si>
  <si>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</si>
  <si>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</si>
  <si>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</si>
  <si>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</si>
  <si>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</si>
  <si>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</si>
  <si>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</si>
  <si>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</si>
  <si>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</si>
  <si>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</si>
  <si>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</si>
  <si>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</si>
  <si>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</si>
  <si>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</si>
  <si>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</si>
  <si>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</si>
  <si>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</si>
  <si>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</si>
  <si>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</si>
  <si>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</si>
  <si>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</si>
  <si>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</si>
  <si>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</si>
  <si>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</si>
  <si>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</si>
  <si>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</si>
  <si>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</si>
  <si>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</si>
  <si>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</si>
  <si>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</si>
  <si>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</si>
  <si>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</si>
  <si>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</si>
  <si>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</si>
  <si>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</si>
  <si>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</si>
  <si>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</si>
  <si>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</si>
  <si>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</si>
  <si>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</si>
  <si>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</si>
  <si>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</si>
  <si>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</si>
  <si>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</si>
  <si>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</si>
  <si>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</si>
  <si>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</si>
  <si>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</si>
  <si>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</si>
  <si>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</si>
  <si>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</si>
  <si>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</si>
  <si>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</si>
  <si>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</si>
  <si>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</si>
  <si>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</si>
  <si>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</si>
  <si>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</si>
  <si>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</si>
  <si>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</si>
  <si>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</si>
  <si>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</si>
  <si>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</si>
  <si>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</si>
  <si>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</si>
  <si>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</si>
  <si>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</si>
  <si>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</si>
  <si>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</si>
  <si>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</si>
  <si>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</si>
  <si>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</si>
  <si>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</si>
  <si>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</si>
  <si>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</si>
  <si>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</si>
  <si>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</si>
  <si>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</si>
  <si>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</si>
  <si>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</si>
  <si>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</si>
  <si>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</si>
  <si>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</si>
  <si>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</si>
  <si>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</si>
  <si>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</si>
  <si>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</si>
  <si>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</si>
  <si>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</si>
  <si>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</si>
  <si>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</si>
  <si>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</si>
  <si>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</si>
  <si>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</si>
  <si>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</si>
  <si>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</si>
  <si>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</si>
  <si>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</si>
  <si>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</si>
  <si>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</si>
  <si>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</si>
  <si>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</si>
  <si>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</si>
  <si>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</si>
  <si>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</si>
  <si>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</si>
  <si>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</si>
  <si>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</si>
  <si>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</si>
  <si>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</si>
  <si>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</si>
  <si>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</si>
  <si>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</si>
  <si>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</si>
  <si>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</si>
  <si>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</si>
  <si>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</si>
  <si>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</si>
  <si>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</si>
  <si>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</si>
  <si>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</si>
  <si>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</si>
  <si>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</si>
  <si>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</si>
  <si>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</si>
  <si>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</si>
  <si>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</si>
  <si>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</si>
  <si>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</si>
  <si>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</si>
  <si>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</si>
  <si>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</si>
  <si>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</si>
  <si>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</si>
  <si>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</si>
  <si>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</si>
  <si>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Строительство 2КЛ-10 кВ от ТП-03 до РУ-10 кВ ТП заявителя в г. Сертолово Всеволожского района ЛО</t>
  </si>
  <si>
    <t>M_22-1-17-1-08-03-0-1093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</si>
</sst>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164" fontId="2" fillId="0" borderId="0" applyFont="0" applyFill="0" applyBorder="0" applyAlignment="0" applyProtection="0"/>
  </cellStyleXfs>
  <cellXfs count="17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6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6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6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7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wrapText="1"/>
    </xf>
    <xf numFmtId="4" fontId="8" fillId="0" borderId="3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wrapText="1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7" fontId="8" fillId="0" borderId="6" xfId="0" applyNumberFormat="1" applyFont="1" applyFill="1" applyBorder="1" applyAlignment="1">
      <alignment horizontal="center" vertical="center"/>
    </xf>
    <xf numFmtId="167" fontId="8" fillId="0" borderId="12" xfId="0" applyNumberFormat="1" applyFont="1" applyFill="1" applyBorder="1" applyAlignment="1">
      <alignment horizontal="center"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8" fillId="0" borderId="13" xfId="0" applyNumberFormat="1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horizontal="center" vertical="center"/>
    </xf>
    <xf numFmtId="167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  <cellStyle name="Финансовый 2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5;&#1088;&#1080;&#1075;&#1086;&#1088;&#1086;&#1076;&#1085;&#1099;&#1081;%20&#1092;&#1080;&#1083;&#1080;&#1072;&#1083;\&#1051;&#1057;&#1058;%20&#1071;&#1085;&#1080;&#1085;&#1086;\&#1056;&#1057;%20&#1087;&#1086;&#1083;&#1085;&#1086;&#1081;%20&#1089;&#1090;&#1086;&#1080;&#1084;&#1086;&#1089;&#1090;&#1080;%20&#1053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ИП"/>
      <sheetName val="Типовые 4 кв. 202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6"/>
  <sheetViews>
    <sheetView tabSelected="1" zoomScale="85" zoomScaleNormal="85" zoomScaleSheetLayoutView="100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customWidth="1"/>
    <col min="13" max="13" width="10.5703125" style="2" customWidth="1"/>
    <col min="14" max="14" width="12.7109375" style="2" customWidth="1"/>
    <col min="15" max="15" width="12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3" width="9.140625" style="2" hidden="1" customWidth="1"/>
    <col min="24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35.25" customHeight="1" x14ac:dyDescent="0.25">
      <c r="A5" s="156" t="s">
        <v>364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</row>
    <row r="6" spans="1:22" ht="10.5" customHeight="1" x14ac:dyDescent="0.25"/>
    <row r="7" spans="1:22" ht="13.5" customHeight="1" x14ac:dyDescent="0.25">
      <c r="A7" s="6" t="s">
        <v>8</v>
      </c>
      <c r="H7" s="162" t="s">
        <v>365</v>
      </c>
      <c r="I7" s="162"/>
      <c r="J7" s="162"/>
      <c r="K7" s="162"/>
      <c r="L7" s="162"/>
      <c r="M7" s="162"/>
      <c r="N7" s="162"/>
      <c r="O7" s="162"/>
      <c r="P7" s="162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8" t="s">
        <v>79</v>
      </c>
      <c r="I9" s="158"/>
      <c r="J9" s="158"/>
      <c r="K9" s="158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37" t="s">
        <v>9</v>
      </c>
      <c r="B13" s="137" t="s">
        <v>12</v>
      </c>
      <c r="C13" s="159" t="s">
        <v>345</v>
      </c>
      <c r="D13" s="161" t="s">
        <v>328</v>
      </c>
      <c r="E13" s="139"/>
      <c r="F13" s="139"/>
      <c r="G13" s="140"/>
      <c r="H13" s="159" t="s">
        <v>346</v>
      </c>
      <c r="I13" s="159" t="s">
        <v>363</v>
      </c>
      <c r="J13" s="137" t="s">
        <v>10</v>
      </c>
      <c r="K13" s="136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36" t="s">
        <v>350</v>
      </c>
      <c r="Q13" s="27"/>
    </row>
    <row r="14" spans="1:22" ht="33.75" customHeight="1" x14ac:dyDescent="0.25">
      <c r="A14" s="137"/>
      <c r="B14" s="137"/>
      <c r="C14" s="160"/>
      <c r="D14" s="106" t="s">
        <v>94</v>
      </c>
      <c r="E14" s="106" t="s">
        <v>96</v>
      </c>
      <c r="F14" s="106" t="s">
        <v>98</v>
      </c>
      <c r="G14" s="106" t="s">
        <v>327</v>
      </c>
      <c r="H14" s="160"/>
      <c r="I14" s="160"/>
      <c r="J14" s="137"/>
      <c r="K14" s="136"/>
      <c r="L14" s="105" t="s">
        <v>1</v>
      </c>
      <c r="M14" s="105" t="s">
        <v>326</v>
      </c>
      <c r="N14" s="105" t="s">
        <v>2</v>
      </c>
      <c r="O14" s="105" t="s">
        <v>3</v>
      </c>
      <c r="P14" s="136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2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28.5" customHeight="1" x14ac:dyDescent="0.25">
      <c r="A16" s="11"/>
      <c r="B16" s="124" t="s">
        <v>71</v>
      </c>
      <c r="C16" s="45">
        <f>VLOOKUP($B$16:$B$29,'Наименование работ'!B:H,6,)</f>
        <v>1475345.96</v>
      </c>
      <c r="D16" s="45">
        <f>VLOOKUP($B$16:$B$29,'Наименование работ'!B:K,10,)</f>
        <v>17.96</v>
      </c>
      <c r="E16" s="45">
        <f>VLOOKUP($B$16:$B$29,'Наименование работ'!B:M,12,)</f>
        <v>8</v>
      </c>
      <c r="F16" s="45">
        <f>VLOOKUP($B$16:$B$29,'Наименование работ'!B:O,14,)</f>
        <v>3.62</v>
      </c>
      <c r="G16" s="45">
        <f>VLOOKUP($B$16:$B$29,'Наименование работ'!B:Q,16,)</f>
        <v>0</v>
      </c>
      <c r="H16" s="44">
        <f>VLOOKUP(B16:B29,'Наименование работ'!B:S,18,)</f>
        <v>8659694.3644000012</v>
      </c>
      <c r="I16" s="44">
        <f>VLOOKUP($B$16:$B$29,'Наименование работ'!B:R,17,)</f>
        <v>0</v>
      </c>
      <c r="J16" s="46" t="s">
        <v>352</v>
      </c>
      <c r="K16" s="125">
        <v>1.4</v>
      </c>
      <c r="L16" s="40">
        <f>(N16+O16)*0.08</f>
        <v>969885.76881280006</v>
      </c>
      <c r="M16" s="40">
        <f>U15*K16</f>
        <v>206220</v>
      </c>
      <c r="N16" s="42">
        <f>K16*H16</f>
        <v>12123572.110160001</v>
      </c>
      <c r="O16" s="42">
        <f>K16*I16</f>
        <v>0</v>
      </c>
      <c r="P16" s="42">
        <f t="shared" ref="P16" si="0">SUM(L16:O16)</f>
        <v>13299677.8789728</v>
      </c>
      <c r="Q16" s="28"/>
      <c r="R16" s="28"/>
      <c r="S16" s="28"/>
      <c r="T16" s="28"/>
      <c r="U16" s="22"/>
      <c r="V16" s="18"/>
    </row>
    <row r="17" spans="1:22" ht="29.25" customHeight="1" x14ac:dyDescent="0.25">
      <c r="A17" s="11"/>
      <c r="B17" s="124" t="s">
        <v>272</v>
      </c>
      <c r="C17" s="45">
        <f>VLOOKUP($B$16:$B$29,'Наименование работ'!B:H,6,)</f>
        <v>1332610.1100000001</v>
      </c>
      <c r="D17" s="45">
        <f>VLOOKUP($B$16:$B$29,'Наименование работ'!B:K,10,)</f>
        <v>17.96</v>
      </c>
      <c r="E17" s="45">
        <f>VLOOKUP($B$16:$B$29,'Наименование работ'!B:M,12,)</f>
        <v>8</v>
      </c>
      <c r="F17" s="45">
        <f>VLOOKUP($B$16:$B$29,'Наименование работ'!B:O,14,)</f>
        <v>3.62</v>
      </c>
      <c r="G17" s="45">
        <f>VLOOKUP($B$16:$B$29,'Наименование работ'!B:Q,16,)</f>
        <v>0</v>
      </c>
      <c r="H17" s="44">
        <f>VLOOKUP(B17:B30,'Наименование работ'!B:S,18,)</f>
        <v>11630006.973600002</v>
      </c>
      <c r="I17" s="44">
        <f>VLOOKUP($B$16:$B$29,'Наименование работ'!B:R,17,)</f>
        <v>0</v>
      </c>
      <c r="J17" s="46" t="s">
        <v>352</v>
      </c>
      <c r="K17" s="125">
        <v>0.4</v>
      </c>
      <c r="L17" s="40">
        <f t="shared" ref="L17:L29" si="1">(N17+O17)*0.08</f>
        <v>372160.22315520013</v>
      </c>
      <c r="M17" s="40">
        <f t="shared" ref="M17:M29" si="2">U16*K17</f>
        <v>0</v>
      </c>
      <c r="N17" s="42">
        <f t="shared" ref="N17:N29" si="3">K17*H17</f>
        <v>4652002.7894400014</v>
      </c>
      <c r="O17" s="42">
        <f t="shared" ref="O17:O29" si="4">K17*I17</f>
        <v>0</v>
      </c>
      <c r="P17" s="42">
        <f t="shared" ref="P17" si="5">SUM(L17:O17)</f>
        <v>5024163.0125952018</v>
      </c>
      <c r="Q17" s="28"/>
      <c r="R17" s="28"/>
      <c r="S17" s="28"/>
      <c r="T17" s="28"/>
      <c r="U17" s="22"/>
      <c r="V17" s="18"/>
    </row>
    <row r="18" spans="1:22" ht="28.5" hidden="1" customHeight="1" x14ac:dyDescent="0.25">
      <c r="A18" s="11"/>
      <c r="B18" s="126" t="s">
        <v>340</v>
      </c>
      <c r="C18" s="45">
        <f>VLOOKUP($B$16:$B$29,'Наименование работ'!B:H,6,)</f>
        <v>0</v>
      </c>
      <c r="D18" s="45">
        <f>VLOOKUP($B$16:$B$29,'Наименование работ'!B:K,10,)</f>
        <v>0</v>
      </c>
      <c r="E18" s="45">
        <f>VLOOKUP($B$16:$B$29,'Наименование работ'!B:M,12,)</f>
        <v>0</v>
      </c>
      <c r="F18" s="45">
        <f>VLOOKUP($B$16:$B$29,'Наименование работ'!B:O,14,)</f>
        <v>0</v>
      </c>
      <c r="G18" s="45">
        <f>VLOOKUP($B$16:$B$29,'Наименование работ'!B:Q,16,)</f>
        <v>0</v>
      </c>
      <c r="H18" s="44">
        <f>VLOOKUP(B18:B31,'Наименование работ'!B:S,18,)</f>
        <v>0</v>
      </c>
      <c r="I18" s="44">
        <f>VLOOKUP($B$16:$B$29,'Наименование работ'!B:R,17,)</f>
        <v>0</v>
      </c>
      <c r="J18" s="46" t="s">
        <v>352</v>
      </c>
      <c r="K18" s="125">
        <v>0</v>
      </c>
      <c r="L18" s="40">
        <f t="shared" si="1"/>
        <v>0</v>
      </c>
      <c r="M18" s="40">
        <f t="shared" si="2"/>
        <v>0</v>
      </c>
      <c r="N18" s="42">
        <f t="shared" si="3"/>
        <v>0</v>
      </c>
      <c r="O18" s="42">
        <f t="shared" si="4"/>
        <v>0</v>
      </c>
      <c r="P18" s="42">
        <f t="shared" ref="P18" si="6">SUM(L18:O18)</f>
        <v>0</v>
      </c>
      <c r="Q18" s="28"/>
      <c r="R18" s="28"/>
      <c r="S18" s="28"/>
      <c r="T18" s="28"/>
      <c r="U18" s="22"/>
      <c r="V18" s="18"/>
    </row>
    <row r="19" spans="1:22" ht="29.25" hidden="1" customHeight="1" x14ac:dyDescent="0.25">
      <c r="A19" s="11"/>
      <c r="B19" s="126" t="s">
        <v>340</v>
      </c>
      <c r="C19" s="45">
        <f>VLOOKUP($B$16:$B$29,'Наименование работ'!B:H,6,)</f>
        <v>0</v>
      </c>
      <c r="D19" s="45">
        <f>VLOOKUP($B$16:$B$29,'Наименование работ'!B:K,10,)</f>
        <v>0</v>
      </c>
      <c r="E19" s="45">
        <f>VLOOKUP($B$16:$B$29,'Наименование работ'!B:M,12,)</f>
        <v>0</v>
      </c>
      <c r="F19" s="45">
        <f>VLOOKUP($B$16:$B$29,'Наименование работ'!B:O,14,)</f>
        <v>0</v>
      </c>
      <c r="G19" s="45">
        <f>VLOOKUP($B$16:$B$29,'Наименование работ'!B:Q,16,)</f>
        <v>0</v>
      </c>
      <c r="H19" s="44">
        <f>VLOOKUP(B19:B32,'Наименование работ'!B:S,18,)</f>
        <v>0</v>
      </c>
      <c r="I19" s="44">
        <f>VLOOKUP($B$16:$B$29,'Наименование работ'!B:R,17,)</f>
        <v>0</v>
      </c>
      <c r="J19" s="46" t="s">
        <v>352</v>
      </c>
      <c r="K19" s="125">
        <v>0</v>
      </c>
      <c r="L19" s="40">
        <f t="shared" si="1"/>
        <v>0</v>
      </c>
      <c r="M19" s="40">
        <f t="shared" si="2"/>
        <v>0</v>
      </c>
      <c r="N19" s="42">
        <f t="shared" si="3"/>
        <v>0</v>
      </c>
      <c r="O19" s="42">
        <f t="shared" si="4"/>
        <v>0</v>
      </c>
      <c r="P19" s="42">
        <f t="shared" ref="P19:P23" si="7">SUM(L19:O19)</f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>VLOOKUP($B$16:$B$29,'Наименование работ'!B:H,6,)</f>
        <v>0</v>
      </c>
      <c r="D20" s="45">
        <f>VLOOKUP($B$16:$B$29,'Наименование работ'!B:K,10,)</f>
        <v>0</v>
      </c>
      <c r="E20" s="45">
        <f>VLOOKUP($B$16:$B$29,'Наименование работ'!B:M,12,)</f>
        <v>0</v>
      </c>
      <c r="F20" s="45">
        <f>VLOOKUP($B$16:$B$29,'Наименование работ'!B:O,14,)</f>
        <v>0</v>
      </c>
      <c r="G20" s="45">
        <f>VLOOKUP($B$16:$B$29,'Наименование работ'!B:Q,16,)</f>
        <v>0</v>
      </c>
      <c r="H20" s="44">
        <f>VLOOKUP(B20:B33,'Наименование работ'!B:S,18,)</f>
        <v>0</v>
      </c>
      <c r="I20" s="44">
        <f>VLOOKUP($B$16:$B$29,'Наименование работ'!B:R,17,)</f>
        <v>0</v>
      </c>
      <c r="J20" s="46" t="s">
        <v>352</v>
      </c>
      <c r="K20" s="104">
        <v>0</v>
      </c>
      <c r="L20" s="40">
        <f t="shared" si="1"/>
        <v>0</v>
      </c>
      <c r="M20" s="40">
        <f t="shared" si="2"/>
        <v>0</v>
      </c>
      <c r="N20" s="42">
        <f t="shared" si="3"/>
        <v>0</v>
      </c>
      <c r="O20" s="42">
        <f t="shared" si="4"/>
        <v>0</v>
      </c>
      <c r="P20" s="42">
        <f t="shared" si="7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>VLOOKUP($B$16:$B$29,'Наименование работ'!B:H,6,)</f>
        <v>0</v>
      </c>
      <c r="D21" s="45">
        <f>VLOOKUP($B$16:$B$29,'Наименование работ'!B:K,10,)</f>
        <v>0</v>
      </c>
      <c r="E21" s="45">
        <f>VLOOKUP($B$16:$B$29,'Наименование работ'!B:M,12,)</f>
        <v>0</v>
      </c>
      <c r="F21" s="45">
        <f>VLOOKUP($B$16:$B$29,'Наименование работ'!B:O,14,)</f>
        <v>0</v>
      </c>
      <c r="G21" s="45">
        <f>VLOOKUP($B$16:$B$29,'Наименование работ'!B:Q,16,)</f>
        <v>0</v>
      </c>
      <c r="H21" s="44">
        <f>VLOOKUP(B21:B34,'Наименование работ'!B:S,18,)</f>
        <v>0</v>
      </c>
      <c r="I21" s="44">
        <f>VLOOKUP($B$16:$B$29,'Наименование работ'!B:R,17,)</f>
        <v>0</v>
      </c>
      <c r="J21" s="46" t="s">
        <v>352</v>
      </c>
      <c r="K21" s="104">
        <v>0</v>
      </c>
      <c r="L21" s="40">
        <f t="shared" si="1"/>
        <v>0</v>
      </c>
      <c r="M21" s="40">
        <f t="shared" si="2"/>
        <v>0</v>
      </c>
      <c r="N21" s="42">
        <f t="shared" si="3"/>
        <v>0</v>
      </c>
      <c r="O21" s="42">
        <f t="shared" si="4"/>
        <v>0</v>
      </c>
      <c r="P21" s="42">
        <f t="shared" si="7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>VLOOKUP($B$16:$B$29,'Наименование работ'!B:H,6,)</f>
        <v>0</v>
      </c>
      <c r="D22" s="45">
        <f>VLOOKUP($B$16:$B$29,'Наименование работ'!B:K,10,)</f>
        <v>0</v>
      </c>
      <c r="E22" s="45">
        <f>VLOOKUP($B$16:$B$29,'Наименование работ'!B:M,12,)</f>
        <v>0</v>
      </c>
      <c r="F22" s="45">
        <f>VLOOKUP($B$16:$B$29,'Наименование работ'!B:O,14,)</f>
        <v>0</v>
      </c>
      <c r="G22" s="45">
        <f>VLOOKUP($B$16:$B$29,'Наименование работ'!B:Q,16,)</f>
        <v>0</v>
      </c>
      <c r="H22" s="44">
        <f>VLOOKUP(B22:B35,'Наименование работ'!B:S,18,)</f>
        <v>0</v>
      </c>
      <c r="I22" s="44">
        <f>VLOOKUP($B$16:$B$29,'Наименование работ'!B:R,17,)</f>
        <v>0</v>
      </c>
      <c r="J22" s="46" t="s">
        <v>352</v>
      </c>
      <c r="K22" s="104">
        <v>0</v>
      </c>
      <c r="L22" s="40">
        <f t="shared" si="1"/>
        <v>0</v>
      </c>
      <c r="M22" s="40">
        <f t="shared" si="2"/>
        <v>0</v>
      </c>
      <c r="N22" s="42">
        <f t="shared" si="3"/>
        <v>0</v>
      </c>
      <c r="O22" s="42">
        <f t="shared" si="4"/>
        <v>0</v>
      </c>
      <c r="P22" s="42">
        <f t="shared" si="7"/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>VLOOKUP($B$16:$B$29,'Наименование работ'!B:H,6,)</f>
        <v>0</v>
      </c>
      <c r="D23" s="45">
        <f>VLOOKUP($B$16:$B$29,'Наименование работ'!B:K,10,)</f>
        <v>0</v>
      </c>
      <c r="E23" s="45">
        <f>VLOOKUP($B$16:$B$29,'Наименование работ'!B:M,12,)</f>
        <v>0</v>
      </c>
      <c r="F23" s="45">
        <f>VLOOKUP($B$16:$B$29,'Наименование работ'!B:O,14,)</f>
        <v>0</v>
      </c>
      <c r="G23" s="45">
        <f>VLOOKUP($B$16:$B$29,'Наименование работ'!B:Q,16,)</f>
        <v>0</v>
      </c>
      <c r="H23" s="44">
        <f>VLOOKUP(B23:B36,'Наименование работ'!B:S,18,)</f>
        <v>0</v>
      </c>
      <c r="I23" s="44">
        <f>VLOOKUP($B$16:$B$29,'Наименование работ'!B:R,17,)</f>
        <v>0</v>
      </c>
      <c r="J23" s="46" t="s">
        <v>352</v>
      </c>
      <c r="K23" s="104">
        <v>0</v>
      </c>
      <c r="L23" s="40">
        <f t="shared" si="1"/>
        <v>0</v>
      </c>
      <c r="M23" s="40">
        <f t="shared" si="2"/>
        <v>0</v>
      </c>
      <c r="N23" s="42">
        <f t="shared" si="3"/>
        <v>0</v>
      </c>
      <c r="O23" s="42">
        <f t="shared" si="4"/>
        <v>0</v>
      </c>
      <c r="P23" s="42">
        <f t="shared" si="7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>VLOOKUP($B$16:$B$29,'Наименование работ'!B:H,6,)</f>
        <v>0</v>
      </c>
      <c r="D24" s="45">
        <f>VLOOKUP($B$16:$B$29,'Наименование работ'!B:K,10,)</f>
        <v>0</v>
      </c>
      <c r="E24" s="45">
        <f>VLOOKUP($B$16:$B$29,'Наименование работ'!B:M,12,)</f>
        <v>0</v>
      </c>
      <c r="F24" s="45">
        <f>VLOOKUP($B$16:$B$29,'Наименование работ'!B:O,14,)</f>
        <v>0</v>
      </c>
      <c r="G24" s="45">
        <f>VLOOKUP($B$16:$B$29,'Наименование работ'!B:Q,16,)</f>
        <v>0</v>
      </c>
      <c r="H24" s="44">
        <f>VLOOKUP(B24:B37,'Наименование работ'!B:S,18,)</f>
        <v>0</v>
      </c>
      <c r="I24" s="44">
        <f>VLOOKUP($B$16:$B$29,'Наименование работ'!B:R,17,)</f>
        <v>0</v>
      </c>
      <c r="J24" s="46" t="s">
        <v>352</v>
      </c>
      <c r="K24" s="104">
        <v>0</v>
      </c>
      <c r="L24" s="40">
        <f t="shared" si="1"/>
        <v>0</v>
      </c>
      <c r="M24" s="40">
        <f t="shared" si="2"/>
        <v>0</v>
      </c>
      <c r="N24" s="42">
        <f t="shared" ref="N24:N28" si="8">K24*H24</f>
        <v>0</v>
      </c>
      <c r="O24" s="42">
        <f t="shared" si="4"/>
        <v>0</v>
      </c>
      <c r="P24" s="42">
        <f t="shared" ref="P24:P28" si="9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>VLOOKUP($B$16:$B$29,'Наименование работ'!B:H,6,)</f>
        <v>0</v>
      </c>
      <c r="D25" s="45">
        <f>VLOOKUP($B$16:$B$29,'Наименование работ'!B:K,10,)</f>
        <v>0</v>
      </c>
      <c r="E25" s="45">
        <f>VLOOKUP($B$16:$B$29,'Наименование работ'!B:M,12,)</f>
        <v>0</v>
      </c>
      <c r="F25" s="45">
        <f>VLOOKUP($B$16:$B$29,'Наименование работ'!B:O,14,)</f>
        <v>0</v>
      </c>
      <c r="G25" s="45">
        <f>VLOOKUP($B$16:$B$29,'Наименование работ'!B:Q,16,)</f>
        <v>0</v>
      </c>
      <c r="H25" s="44">
        <f>VLOOKUP(B25:B38,'Наименование работ'!B:S,18,)</f>
        <v>0</v>
      </c>
      <c r="I25" s="44">
        <f>VLOOKUP($B$16:$B$29,'Наименование работ'!B:R,17,)</f>
        <v>0</v>
      </c>
      <c r="J25" s="46" t="s">
        <v>352</v>
      </c>
      <c r="K25" s="104">
        <v>0</v>
      </c>
      <c r="L25" s="40">
        <f t="shared" si="1"/>
        <v>0</v>
      </c>
      <c r="M25" s="40">
        <f t="shared" si="2"/>
        <v>0</v>
      </c>
      <c r="N25" s="42">
        <f t="shared" si="8"/>
        <v>0</v>
      </c>
      <c r="O25" s="42">
        <f t="shared" si="4"/>
        <v>0</v>
      </c>
      <c r="P25" s="42">
        <f t="shared" si="9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>VLOOKUP($B$16:$B$29,'Наименование работ'!B:H,6,)</f>
        <v>0</v>
      </c>
      <c r="D26" s="45">
        <f>VLOOKUP($B$16:$B$29,'Наименование работ'!B:K,10,)</f>
        <v>0</v>
      </c>
      <c r="E26" s="45">
        <f>VLOOKUP($B$16:$B$29,'Наименование работ'!B:M,12,)</f>
        <v>0</v>
      </c>
      <c r="F26" s="45">
        <f>VLOOKUP($B$16:$B$29,'Наименование работ'!B:O,14,)</f>
        <v>0</v>
      </c>
      <c r="G26" s="45">
        <f>VLOOKUP($B$16:$B$29,'Наименование работ'!B:Q,16,)</f>
        <v>0</v>
      </c>
      <c r="H26" s="44">
        <f>VLOOKUP(B26:B39,'Наименование работ'!B:S,18,)</f>
        <v>0</v>
      </c>
      <c r="I26" s="44">
        <f>VLOOKUP($B$16:$B$29,'Наименование работ'!B:R,17,)</f>
        <v>0</v>
      </c>
      <c r="J26" s="46" t="s">
        <v>352</v>
      </c>
      <c r="K26" s="104">
        <v>0</v>
      </c>
      <c r="L26" s="40">
        <f t="shared" si="1"/>
        <v>0</v>
      </c>
      <c r="M26" s="40">
        <f t="shared" si="2"/>
        <v>0</v>
      </c>
      <c r="N26" s="42">
        <f t="shared" si="8"/>
        <v>0</v>
      </c>
      <c r="O26" s="42">
        <f t="shared" si="4"/>
        <v>0</v>
      </c>
      <c r="P26" s="42">
        <f t="shared" si="9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>VLOOKUP($B$16:$B$29,'Наименование работ'!B:H,6,)</f>
        <v>0</v>
      </c>
      <c r="D27" s="45">
        <f>VLOOKUP($B$16:$B$29,'Наименование работ'!B:K,10,)</f>
        <v>0</v>
      </c>
      <c r="E27" s="45">
        <f>VLOOKUP($B$16:$B$29,'Наименование работ'!B:M,12,)</f>
        <v>0</v>
      </c>
      <c r="F27" s="45">
        <f>VLOOKUP($B$16:$B$29,'Наименование работ'!B:O,14,)</f>
        <v>0</v>
      </c>
      <c r="G27" s="45">
        <f>VLOOKUP($B$16:$B$29,'Наименование работ'!B:Q,16,)</f>
        <v>0</v>
      </c>
      <c r="H27" s="44">
        <f>VLOOKUP(B27:B40,'Наименование работ'!B:S,18,)</f>
        <v>0</v>
      </c>
      <c r="I27" s="44">
        <f>VLOOKUP($B$16:$B$29,'Наименование работ'!B:R,17,)</f>
        <v>0</v>
      </c>
      <c r="J27" s="46" t="s">
        <v>352</v>
      </c>
      <c r="K27" s="104">
        <v>0</v>
      </c>
      <c r="L27" s="40">
        <f t="shared" si="1"/>
        <v>0</v>
      </c>
      <c r="M27" s="40">
        <f t="shared" si="2"/>
        <v>0</v>
      </c>
      <c r="N27" s="42">
        <f t="shared" si="8"/>
        <v>0</v>
      </c>
      <c r="O27" s="42">
        <f t="shared" si="4"/>
        <v>0</v>
      </c>
      <c r="P27" s="42">
        <f t="shared" si="9"/>
        <v>0</v>
      </c>
      <c r="Q27" s="28"/>
      <c r="R27" s="28"/>
      <c r="S27" s="28"/>
      <c r="T27" s="28"/>
      <c r="U27" s="22"/>
      <c r="V27" s="18"/>
    </row>
    <row r="28" spans="1:22" ht="15" hidden="1" customHeight="1" x14ac:dyDescent="0.25">
      <c r="A28" s="11"/>
      <c r="B28" s="48" t="s">
        <v>340</v>
      </c>
      <c r="C28" s="45">
        <f>VLOOKUP($B$16:$B$29,'Наименование работ'!B:H,6,)</f>
        <v>0</v>
      </c>
      <c r="D28" s="45">
        <f>VLOOKUP($B$16:$B$29,'Наименование работ'!B:K,10,)</f>
        <v>0</v>
      </c>
      <c r="E28" s="45">
        <f>VLOOKUP($B$16:$B$29,'Наименование работ'!B:M,12,)</f>
        <v>0</v>
      </c>
      <c r="F28" s="45">
        <f>VLOOKUP($B$16:$B$29,'Наименование работ'!B:O,14,)</f>
        <v>0</v>
      </c>
      <c r="G28" s="45">
        <f>VLOOKUP($B$16:$B$29,'Наименование работ'!B:Q,16,)</f>
        <v>0</v>
      </c>
      <c r="H28" s="44">
        <f>VLOOKUP(B28:B41,'Наименование работ'!B:S,18,)</f>
        <v>0</v>
      </c>
      <c r="I28" s="44">
        <f>VLOOKUP($B$16:$B$29,'Наименование работ'!B:R,17,)</f>
        <v>0</v>
      </c>
      <c r="J28" s="46" t="s">
        <v>352</v>
      </c>
      <c r="K28" s="104">
        <v>0</v>
      </c>
      <c r="L28" s="40">
        <f t="shared" si="1"/>
        <v>0</v>
      </c>
      <c r="M28" s="40">
        <f t="shared" si="2"/>
        <v>0</v>
      </c>
      <c r="N28" s="42">
        <f t="shared" si="8"/>
        <v>0</v>
      </c>
      <c r="O28" s="42">
        <f t="shared" si="4"/>
        <v>0</v>
      </c>
      <c r="P28" s="42">
        <f t="shared" si="9"/>
        <v>0</v>
      </c>
      <c r="Q28" s="28"/>
      <c r="R28" s="28"/>
      <c r="S28" s="28"/>
      <c r="T28" s="28"/>
      <c r="U28" s="22"/>
      <c r="V28" s="18"/>
    </row>
    <row r="29" spans="1:22" ht="15.75" hidden="1" x14ac:dyDescent="0.25">
      <c r="A29" s="12"/>
      <c r="B29" s="48" t="s">
        <v>340</v>
      </c>
      <c r="C29" s="45">
        <f>VLOOKUP($B$16:$B$29,'Наименование работ'!B:H,6,)</f>
        <v>0</v>
      </c>
      <c r="D29" s="45">
        <f>VLOOKUP($B$16:$B$29,'Наименование работ'!B:K,10,)</f>
        <v>0</v>
      </c>
      <c r="E29" s="45">
        <f>VLOOKUP($B$16:$B$29,'Наименование работ'!B:M,12,)</f>
        <v>0</v>
      </c>
      <c r="F29" s="45">
        <f>VLOOKUP($B$16:$B$29,'Наименование работ'!B:O,14,)</f>
        <v>0</v>
      </c>
      <c r="G29" s="45">
        <f>VLOOKUP($B$16:$B$29,'Наименование работ'!B:Q,16,)</f>
        <v>0</v>
      </c>
      <c r="H29" s="44">
        <f>VLOOKUP(B29:B42,'Наименование работ'!B:S,18,)</f>
        <v>0</v>
      </c>
      <c r="I29" s="44">
        <f>VLOOKUP($B$16:$B$29,'Наименование работ'!B:R,17,)</f>
        <v>0</v>
      </c>
      <c r="J29" s="46" t="s">
        <v>352</v>
      </c>
      <c r="K29" s="104">
        <v>0</v>
      </c>
      <c r="L29" s="40">
        <f t="shared" si="1"/>
        <v>0</v>
      </c>
      <c r="M29" s="40">
        <f t="shared" si="2"/>
        <v>0</v>
      </c>
      <c r="N29" s="42">
        <f t="shared" si="3"/>
        <v>0</v>
      </c>
      <c r="O29" s="42">
        <f t="shared" si="4"/>
        <v>0</v>
      </c>
      <c r="P29" s="42">
        <f t="shared" ref="P29" si="10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53" t="s">
        <v>326</v>
      </c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5"/>
      <c r="P30" s="42">
        <f>SUM(M16:M29)</f>
        <v>206220</v>
      </c>
    </row>
    <row r="31" spans="1:22" ht="12.75" customHeight="1" x14ac:dyDescent="0.25">
      <c r="A31" s="9"/>
      <c r="B31" s="153" t="s">
        <v>2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5"/>
      <c r="P31" s="43">
        <f>SUM(N16:N29)</f>
        <v>16775574.899600003</v>
      </c>
    </row>
    <row r="32" spans="1:22" ht="12.75" customHeight="1" x14ac:dyDescent="0.25">
      <c r="A32" s="9"/>
      <c r="B32" s="153" t="s">
        <v>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5"/>
      <c r="P32" s="43">
        <f>SUM(O16:O29)</f>
        <v>0</v>
      </c>
    </row>
    <row r="33" spans="1:23" ht="12.75" customHeight="1" x14ac:dyDescent="0.25">
      <c r="A33" s="9"/>
      <c r="B33" s="153" t="s">
        <v>359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5"/>
      <c r="P33" s="43">
        <f>SUM(L16:L29)</f>
        <v>1342045.9919680003</v>
      </c>
      <c r="Q33" s="36"/>
      <c r="R33" s="36"/>
    </row>
    <row r="34" spans="1:23" ht="12.75" customHeight="1" x14ac:dyDescent="0.25">
      <c r="A34" s="9"/>
      <c r="B34" s="133" t="s">
        <v>15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5"/>
      <c r="P34" s="41">
        <f>SUM(P30:P33)</f>
        <v>18323840.891568005</v>
      </c>
    </row>
    <row r="35" spans="1:23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3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3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3" ht="87.75" customHeight="1" x14ac:dyDescent="0.25">
      <c r="A38" s="37" t="s">
        <v>9</v>
      </c>
      <c r="B38" s="137" t="s">
        <v>0</v>
      </c>
      <c r="C38" s="137"/>
      <c r="D38" s="137"/>
      <c r="E38" s="137"/>
      <c r="F38" s="139" t="s">
        <v>348</v>
      </c>
      <c r="G38" s="139"/>
      <c r="H38" s="140"/>
      <c r="I38" s="145" t="s">
        <v>358</v>
      </c>
      <c r="J38" s="146"/>
      <c r="K38" s="136" t="s">
        <v>349</v>
      </c>
      <c r="L38" s="136"/>
      <c r="M38" s="136" t="s">
        <v>351</v>
      </c>
      <c r="N38" s="136"/>
      <c r="O38" s="90"/>
      <c r="P38" s="90"/>
      <c r="Q38" s="25"/>
      <c r="R38" s="25"/>
      <c r="S38" s="25"/>
      <c r="T38" s="25"/>
      <c r="U38" s="25"/>
    </row>
    <row r="39" spans="1:23" ht="14.25" customHeight="1" x14ac:dyDescent="0.25">
      <c r="A39" s="26">
        <v>1</v>
      </c>
      <c r="B39" s="138" t="s">
        <v>329</v>
      </c>
      <c r="C39" s="138"/>
      <c r="D39" s="138"/>
      <c r="E39" s="138"/>
      <c r="F39" s="141">
        <f>P33+P30</f>
        <v>1548265.9919680003</v>
      </c>
      <c r="G39" s="141"/>
      <c r="H39" s="142"/>
      <c r="I39" s="147">
        <v>1.0589</v>
      </c>
      <c r="J39" s="148"/>
      <c r="K39" s="129">
        <f>F39*$I$39</f>
        <v>1639458.8588949156</v>
      </c>
      <c r="L39" s="129"/>
      <c r="M39" s="129">
        <f>K39*1.2</f>
        <v>1967350.6306738986</v>
      </c>
      <c r="N39" s="129"/>
      <c r="O39" s="163"/>
      <c r="P39" s="128"/>
      <c r="Q39" s="22" t="s">
        <v>77</v>
      </c>
      <c r="R39" s="91">
        <v>1.0369999999999999</v>
      </c>
      <c r="S39" s="25"/>
      <c r="T39" s="25"/>
      <c r="U39" s="25"/>
    </row>
    <row r="40" spans="1:23" ht="14.25" customHeight="1" x14ac:dyDescent="0.25">
      <c r="A40" s="26">
        <v>2</v>
      </c>
      <c r="B40" s="138" t="s">
        <v>2</v>
      </c>
      <c r="C40" s="138"/>
      <c r="D40" s="138"/>
      <c r="E40" s="138"/>
      <c r="F40" s="143">
        <f>P31</f>
        <v>16775574.899600003</v>
      </c>
      <c r="G40" s="143"/>
      <c r="H40" s="144"/>
      <c r="I40" s="149"/>
      <c r="J40" s="150"/>
      <c r="K40" s="129">
        <f t="shared" ref="K40:K41" si="11">F40*$I$39</f>
        <v>17763656.261186443</v>
      </c>
      <c r="L40" s="129"/>
      <c r="M40" s="129">
        <f>K40*1.2</f>
        <v>21316387.51342373</v>
      </c>
      <c r="N40" s="129"/>
      <c r="O40" s="163"/>
      <c r="P40" s="128"/>
      <c r="Q40" s="22" t="s">
        <v>78</v>
      </c>
      <c r="R40" s="91">
        <v>1.0589</v>
      </c>
      <c r="S40" s="25"/>
      <c r="T40" s="25"/>
      <c r="U40" s="25"/>
    </row>
    <row r="41" spans="1:23" ht="14.25" customHeight="1" x14ac:dyDescent="0.25">
      <c r="A41" s="26">
        <v>3</v>
      </c>
      <c r="B41" s="138" t="s">
        <v>3</v>
      </c>
      <c r="C41" s="138"/>
      <c r="D41" s="138"/>
      <c r="E41" s="138"/>
      <c r="F41" s="143">
        <f>P32</f>
        <v>0</v>
      </c>
      <c r="G41" s="143"/>
      <c r="H41" s="144"/>
      <c r="I41" s="149"/>
      <c r="J41" s="150"/>
      <c r="K41" s="129">
        <f t="shared" si="11"/>
        <v>0</v>
      </c>
      <c r="L41" s="129"/>
      <c r="M41" s="129">
        <f t="shared" ref="M41" si="12">K41*1.2</f>
        <v>0</v>
      </c>
      <c r="N41" s="129"/>
      <c r="O41" s="163"/>
      <c r="P41" s="128"/>
      <c r="Q41" s="22" t="s">
        <v>79</v>
      </c>
      <c r="R41" s="91">
        <v>1.115</v>
      </c>
      <c r="S41" s="25"/>
      <c r="T41" s="25"/>
      <c r="U41" s="25"/>
    </row>
    <row r="42" spans="1:23" ht="14.25" customHeight="1" x14ac:dyDescent="0.25">
      <c r="A42" s="26">
        <v>4</v>
      </c>
      <c r="B42" s="138" t="s">
        <v>7</v>
      </c>
      <c r="C42" s="138"/>
      <c r="D42" s="138"/>
      <c r="E42" s="138"/>
      <c r="F42" s="143"/>
      <c r="G42" s="143"/>
      <c r="H42" s="144"/>
      <c r="I42" s="149"/>
      <c r="J42" s="150"/>
      <c r="K42" s="166">
        <f>SUM(F43:H47)*$I$39</f>
        <v>3215096.1753974818</v>
      </c>
      <c r="L42" s="167"/>
      <c r="M42" s="166">
        <f>K42*1.2</f>
        <v>3858115.4104769779</v>
      </c>
      <c r="N42" s="167"/>
      <c r="O42" s="163"/>
      <c r="P42" s="128"/>
      <c r="Q42" s="22" t="s">
        <v>80</v>
      </c>
      <c r="R42" s="91">
        <v>1.1685000000000001</v>
      </c>
      <c r="S42" s="25"/>
      <c r="T42" s="25"/>
      <c r="U42" s="25"/>
    </row>
    <row r="43" spans="1:23" ht="12.75" customHeight="1" x14ac:dyDescent="0.25">
      <c r="A43" s="11" t="s">
        <v>81</v>
      </c>
      <c r="B43" s="138" t="s">
        <v>4</v>
      </c>
      <c r="C43" s="138"/>
      <c r="D43" s="138"/>
      <c r="E43" s="138"/>
      <c r="F43" s="143">
        <f>SUM(F39:H41)*Q43</f>
        <v>177741.25664820964</v>
      </c>
      <c r="G43" s="143"/>
      <c r="H43" s="144"/>
      <c r="I43" s="149"/>
      <c r="J43" s="150"/>
      <c r="K43" s="168"/>
      <c r="L43" s="169"/>
      <c r="M43" s="168"/>
      <c r="N43" s="169"/>
      <c r="O43" s="163"/>
      <c r="P43" s="128"/>
      <c r="Q43" s="39">
        <v>9.7000000000000003E-3</v>
      </c>
      <c r="R43" s="23"/>
      <c r="S43" s="25"/>
      <c r="T43" s="25"/>
      <c r="U43" s="25"/>
    </row>
    <row r="44" spans="1:23" ht="12.75" customHeight="1" x14ac:dyDescent="0.25">
      <c r="A44" s="11" t="s">
        <v>82</v>
      </c>
      <c r="B44" s="175" t="s">
        <v>360</v>
      </c>
      <c r="C44" s="175"/>
      <c r="D44" s="175"/>
      <c r="E44" s="175"/>
      <c r="F44" s="143">
        <f>SUM(F39:H41)*Q44</f>
        <v>392130.19507955527</v>
      </c>
      <c r="G44" s="143"/>
      <c r="H44" s="144"/>
      <c r="I44" s="149"/>
      <c r="J44" s="150"/>
      <c r="K44" s="168"/>
      <c r="L44" s="169"/>
      <c r="M44" s="168"/>
      <c r="N44" s="169"/>
      <c r="O44" s="163"/>
      <c r="P44" s="128"/>
      <c r="Q44" s="39">
        <v>2.1399999999999999E-2</v>
      </c>
      <c r="R44" s="23"/>
      <c r="S44" s="25"/>
      <c r="T44" s="25"/>
      <c r="U44" s="25"/>
    </row>
    <row r="45" spans="1:23" ht="12.75" customHeight="1" x14ac:dyDescent="0.25">
      <c r="A45" s="11" t="s">
        <v>83</v>
      </c>
      <c r="B45" s="175" t="s">
        <v>361</v>
      </c>
      <c r="C45" s="175"/>
      <c r="D45" s="175"/>
      <c r="E45" s="175"/>
      <c r="F45" s="143">
        <f>SUM(F39:H41)*Q45</f>
        <v>1546532.1712483396</v>
      </c>
      <c r="G45" s="143"/>
      <c r="H45" s="144"/>
      <c r="I45" s="149"/>
      <c r="J45" s="150"/>
      <c r="K45" s="168"/>
      <c r="L45" s="169"/>
      <c r="M45" s="168"/>
      <c r="N45" s="169"/>
      <c r="O45" s="163"/>
      <c r="P45" s="128"/>
      <c r="Q45" s="39">
        <v>8.4400000000000003E-2</v>
      </c>
      <c r="R45" s="23"/>
      <c r="S45" s="25"/>
      <c r="T45" s="25"/>
      <c r="U45" s="25"/>
    </row>
    <row r="46" spans="1:23" ht="12.75" customHeight="1" x14ac:dyDescent="0.25">
      <c r="A46" s="11" t="s">
        <v>84</v>
      </c>
      <c r="B46" s="176" t="s">
        <v>6</v>
      </c>
      <c r="C46" s="176"/>
      <c r="D46" s="176"/>
      <c r="E46" s="176"/>
      <c r="F46" s="143">
        <f>SUM(F39:H41)*Q46</f>
        <v>522229.46540968819</v>
      </c>
      <c r="G46" s="143"/>
      <c r="H46" s="144"/>
      <c r="I46" s="149"/>
      <c r="J46" s="150"/>
      <c r="K46" s="168"/>
      <c r="L46" s="169"/>
      <c r="M46" s="168"/>
      <c r="N46" s="169"/>
      <c r="O46" s="163"/>
      <c r="P46" s="128"/>
      <c r="Q46" s="39">
        <v>2.8500000000000001E-2</v>
      </c>
      <c r="R46" s="23"/>
      <c r="S46" s="25"/>
      <c r="T46" s="25"/>
      <c r="U46" s="25"/>
    </row>
    <row r="47" spans="1:23" ht="12.75" customHeight="1" x14ac:dyDescent="0.25">
      <c r="A47" s="11" t="s">
        <v>85</v>
      </c>
      <c r="B47" s="138" t="s">
        <v>5</v>
      </c>
      <c r="C47" s="138"/>
      <c r="D47" s="138"/>
      <c r="E47" s="138"/>
      <c r="F47" s="143">
        <f>SUM(F39:H41)*Q47</f>
        <v>397627.3473470257</v>
      </c>
      <c r="G47" s="143"/>
      <c r="H47" s="144"/>
      <c r="I47" s="151"/>
      <c r="J47" s="152"/>
      <c r="K47" s="170"/>
      <c r="L47" s="171"/>
      <c r="M47" s="170"/>
      <c r="N47" s="171"/>
      <c r="O47" s="163"/>
      <c r="P47" s="128"/>
      <c r="Q47" s="92">
        <v>2.1700000000000001E-2</v>
      </c>
      <c r="R47" s="25"/>
      <c r="S47" s="25">
        <f>K39/1000</f>
        <v>1639.4588588949155</v>
      </c>
      <c r="T47" s="25">
        <f>K40/1000</f>
        <v>17763.656261186443</v>
      </c>
      <c r="U47" s="25">
        <f>K41/1000</f>
        <v>0</v>
      </c>
      <c r="V47" s="2">
        <f>K42/1000</f>
        <v>3215.0961753974816</v>
      </c>
      <c r="W47" s="2">
        <f>K48/1000</f>
        <v>22618.211295478839</v>
      </c>
    </row>
    <row r="48" spans="1:23" ht="14.25" customHeight="1" x14ac:dyDescent="0.25">
      <c r="A48" s="172" t="s">
        <v>86</v>
      </c>
      <c r="B48" s="172"/>
      <c r="C48" s="172"/>
      <c r="D48" s="172"/>
      <c r="E48" s="172"/>
      <c r="F48" s="173">
        <f>SUM(F39:H47)</f>
        <v>21360101.32730082</v>
      </c>
      <c r="G48" s="174"/>
      <c r="H48" s="174"/>
      <c r="I48" s="174"/>
      <c r="J48" s="174"/>
      <c r="K48" s="127">
        <f>SUM(K39:L47)</f>
        <v>22618211.295478839</v>
      </c>
      <c r="L48" s="127"/>
      <c r="M48" s="127">
        <f>SUM(M39:N47)</f>
        <v>27141853.554574609</v>
      </c>
      <c r="N48" s="127"/>
      <c r="O48" s="93"/>
      <c r="P48" s="94"/>
      <c r="Q48" s="34"/>
      <c r="R48" s="95"/>
      <c r="S48" s="96"/>
      <c r="T48" s="97"/>
      <c r="U48" s="25"/>
      <c r="W48" s="2">
        <f>M48/1000</f>
        <v>27141.853554574609</v>
      </c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5" t="s">
        <v>354</v>
      </c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5" t="s">
        <v>357</v>
      </c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64" t="s">
        <v>355</v>
      </c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64" t="s">
        <v>356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'O:\Технический директор\ОКС\Закупочная документация\Пригородный филиал\ЛСТ Янино\[РС полной стоимости НС.xlsx]Типовые 4 кв. 2021'!#REF!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133" activePane="bottomLeft" state="frozen"/>
      <selection pane="bottomLeft" activeCell="B187" sqref="B187"/>
    </sheetView>
  </sheetViews>
  <sheetFormatPr defaultColWidth="9.5703125" defaultRowHeight="15" x14ac:dyDescent="0.25"/>
  <cols>
    <col min="1" max="1" width="4" style="71" customWidth="1"/>
    <col min="2" max="2" width="36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hidden="1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hidden="1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hidden="1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hidden="1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hidden="1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hidden="1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hidden="1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hidden="1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hidden="1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hidden="1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hidden="1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hidden="1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hidden="1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hidden="1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hidden="1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hidden="1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hidden="1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hidden="1" x14ac:dyDescent="0.25">
      <c r="A20" s="76">
        <v>17</v>
      </c>
      <c r="B20" s="76" t="s">
        <v>332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hidden="1" x14ac:dyDescent="0.25">
      <c r="A21" s="76">
        <v>18</v>
      </c>
      <c r="B21" s="76" t="s">
        <v>333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hidden="1" customHeight="1" x14ac:dyDescent="0.25">
      <c r="A22" s="76">
        <v>19</v>
      </c>
      <c r="B22" s="76" t="s">
        <v>334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hidden="1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hidden="1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hidden="1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hidden="1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hidden="1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hidden="1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hidden="1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hidden="1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hidden="1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hidden="1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hidden="1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hidden="1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hidden="1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hidden="1" x14ac:dyDescent="0.25">
      <c r="A36" s="76">
        <v>33</v>
      </c>
      <c r="B36" s="76" t="s">
        <v>335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hidden="1" x14ac:dyDescent="0.25">
      <c r="A37" s="76">
        <v>34</v>
      </c>
      <c r="B37" s="76" t="s">
        <v>336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hidden="1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hidden="1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hidden="1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hidden="1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hidden="1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hidden="1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hidden="1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hidden="1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hidden="1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hidden="1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hidden="1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hidden="1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hidden="1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hidden="1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hidden="1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hidden="1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hidden="1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hidden="1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hidden="1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hidden="1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hidden="1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hidden="1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hidden="1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hidden="1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hidden="1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hidden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hidden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hidden="1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hidden="1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hidden="1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hidden="1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hidden="1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hidden="1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hidden="1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hidden="1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hidden="1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hidden="1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hidden="1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hidden="1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hidden="1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hidden="1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hidden="1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hidden="1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hidden="1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hidden="1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hidden="1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hidden="1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hidden="1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hidden="1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hidden="1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hidden="1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hidden="1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hidden="1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hidden="1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hidden="1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hidden="1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hidden="1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hidden="1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hidden="1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hidden="1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hidden="1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hidden="1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hidden="1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hidden="1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hidden="1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hidden="1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hidden="1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hidden="1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hidden="1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hidden="1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hidden="1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hidden="1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hidden="1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hidden="1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hidden="1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hidden="1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hidden="1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hidden="1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hidden="1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hidden="1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hidden="1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hidden="1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hidden="1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hidden="1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hidden="1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hidden="1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hidden="1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hidden="1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hidden="1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hidden="1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hidden="1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hidden="1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hidden="1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hidden="1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hidden="1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hidden="1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hidden="1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hidden="1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hidden="1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hidden="1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hidden="1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hidden="1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hidden="1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hidden="1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hidden="1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hidden="1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hidden="1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15.75" hidden="1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15" hidden="1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hidden="1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hidden="1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14.25" hidden="1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hidden="1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hidden="1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hidden="1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hidden="1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hidden="1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hidden="1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hidden="1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hidden="1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hidden="1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hidden="1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hidden="1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hidden="1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hidden="1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hidden="1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hidden="1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hidden="1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hidden="1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hidden="1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hidden="1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hidden="1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hidden="1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hidden="1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hidden="1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hidden="1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hidden="1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hidden="1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hidden="1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hidden="1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hidden="1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hidden="1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hidden="1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hidden="1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hidden="1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hidden="1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hidden="1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hidden="1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hidden="1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hidden="1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hidden="1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hidden="1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hidden="1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hidden="1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hidden="1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hidden="1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hidden="1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hidden="1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hidden="1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hidden="1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hidden="1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hidden="1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hidden="1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hidden="1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hidden="1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hidden="1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hidden="1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hidden="1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hidden="1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hidden="1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hidden="1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hidden="1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hidden="1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hidden="1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hidden="1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hidden="1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hidden="1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hidden="1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hidden="1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hidden="1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hidden="1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hidden="1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hidden="1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hidden="1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hidden="1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hidden="1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hidden="1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hidden="1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hidden="1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hidden="1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hidden="1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hidden="1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hidden="1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hidden="1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hidden="1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hidden="1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hidden="1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hidden="1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hidden="1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hidden="1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hidden="1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hidden="1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hidden="1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hidden="1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hidden="1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hidden="1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hidden="1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hidden="1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hidden="1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hidden="1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hidden="1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hidden="1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hidden="1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hidden="1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hidden="1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hidden="1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hidden="1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hidden="1" x14ac:dyDescent="0.25">
      <c r="A287" s="76">
        <v>283</v>
      </c>
      <c r="B287" s="76" t="s">
        <v>343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hidden="1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hidden="1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hidden="1" x14ac:dyDescent="0.25">
      <c r="A290" s="80">
        <v>286</v>
      </c>
      <c r="B290" s="76" t="s">
        <v>339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hidden="1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hidden="1" x14ac:dyDescent="0.25">
      <c r="B292" s="81" t="s">
        <v>344</v>
      </c>
      <c r="C292" s="82">
        <v>44739</v>
      </c>
    </row>
  </sheetData>
  <autoFilter ref="A2:R292" xr:uid="{00000000-0009-0000-0000-000001000000}">
    <filterColumn colId="1">
      <filters>
        <filter val="ГНБ 1 км 2 трубы 225 мм (одна-резерв) кабель АПвПу2г 1*630/70"/>
        <filter val="ГНБ 1 км 3 трубы 160 мм (одна-резерв) кабель АПвПу2r 1*120/70"/>
        <filter val="ГНБ 1 км 3 трубы 160 мм (одна-резерв) кабель АПвПу2r 1*240/70"/>
        <filter val="ГНБ 1 км 3 трубы 225 мм (две-резерв) кабель АПвПу2г 1*630/50"/>
        <filter val="ГНБ 1 км 4 трубы 225 мм (две-резерв) кабель АПвПу2г 1*630/50"/>
        <filter val="Строительство 100 м КЛ-10 кВ АПвПу2г 1х120/50 мм2"/>
        <filter val="Строительство 100 м КЛ-10 кВ АПвПу2г 1х240/70 мм2"/>
        <filter val="Строительство 100 м КЛ-10 кВ АПвПу2г 1х240/70 мм2 4 кабеля"/>
        <filter val="Строительство 100 м КЛ-10 кВ АПвПу2г 1х240/70 мм2 два кабеля"/>
        <filter val="Строительство 100 м КЛ-10 кВ АПвПу2г 1х300/70 мм2"/>
        <filter val="Строительство 100 м КЛ-10 кВ АПвПу2г 1х300/70 мм2 4 кабеля"/>
        <filter val="Строительство 100 м КЛ-10 кВ АПвПу2г 1х300/70 мм2 два кабеля"/>
        <filter val="Строительство 100 м КЛ-10 кВ АПвПу2г 1х400/70 мм2"/>
        <filter val="Строительство 100 м КЛ-10 кВ АПвПу2г 1х400/70 мм2 два кабеля"/>
        <filter val="Строительство 100 м КЛ-10 кВ АПвПу2г 1х630/70 мм2"/>
        <filter val="Строительство 100 м КЛ-10 кВ АПвПу2г 1х630/70 мм2 два кабеля"/>
        <filter val="Строительство 100 м КЛ-10 кВ АПвПу2г 1х800/70 мм2 два кабеля"/>
        <filter val="Строительство КЛ-10 кВ АПвПу2г 1х120/50 мм2"/>
        <filter val="Строительство КЛ-10 кВ АПвПу2г 1х120/70 мм2 два кабеля"/>
        <filter val="Строительство КЛ-10 кВ АПвПу2г 1х150/70 мм2"/>
        <filter val="Строительство КЛ-10 кВ АПвПу2г 1х240/50 мм2"/>
        <filter val="Строительство КЛ-10 кВ АПвПу2г 1х240/70 мм2 два кабеля"/>
        <filter val="Строительство КЛ-10 кВ АПвПу2г 1х300/50 мм2"/>
        <filter val="Строительство КЛ-10 кВ АПвПу2г 1х300/70 мм2 два кабеля"/>
        <filter val="Строительство КЛ-10 кВ АПвПу2г 1х400/50 мм2"/>
        <filter val="Строительство КЛ-10 кВ АПвПу2г 1х400/70 мм2 четыре кабеля"/>
        <filter val="Строительство КЛ-10 кВ АПвПу2г 1х630/50 мм2"/>
        <filter val="Строительство КЛ-10 кВ АПвПу2г 1х630/70 мм2 два кабеля"/>
        <filter val="Строительство КЛ-10 кВ АПвПу2г 1х630/70 мм2 четыре кабеля"/>
        <filter val="Строительство КЛ-10 кВ АПвПу2г 3х120/35 мм2"/>
        <filter val="Строительство КЛ-10 кВ АПвПу2г 3х240/70 мм2"/>
        <filter val="Строительство КЛ-10 кВ АПвПу2г 3х240/70 мм2 два кабеля"/>
      </filters>
    </filterColumn>
  </autoFilter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2023-02-14T09:57:23Z</dcterms:modified>
</cp:coreProperties>
</file>