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M_22-1-08-01-08-00-0-0002_заменить ПСД на новый утвержд-й\"/>
    </mc:Choice>
  </mc:AlternateContent>
  <xr:revisionPtr revIDLastSave="0" documentId="13_ncr:1_{416E4FBF-6648-4ACF-AB84-1DD71A96FB02}" xr6:coauthVersionLast="36" xr6:coauthVersionMax="36" xr10:uidLastSave="{00000000-0000-0000-0000-000000000000}"/>
  <bookViews>
    <workbookView xWindow="0" yWindow="0" windowWidth="28800" windowHeight="1221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база!$A$1:$H$53</definedName>
    <definedName name="_xlnm.Print_Area" localSheetId="0">тек.ц.!$A$1:$H$53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6" i="1"/>
  <c r="I39" i="1" l="1"/>
  <c r="H51" i="2"/>
  <c r="G51" i="2"/>
  <c r="H51" i="1"/>
  <c r="H53" i="1" s="1"/>
  <c r="G51" i="1"/>
  <c r="E51" i="1"/>
  <c r="D51" i="1"/>
  <c r="F51" i="1"/>
  <c r="G49" i="1"/>
  <c r="H49" i="1"/>
  <c r="G52" i="2" l="1"/>
  <c r="H52" i="2" s="1"/>
  <c r="D51" i="2"/>
  <c r="E49" i="2"/>
  <c r="H48" i="1" l="1"/>
  <c r="G48" i="1"/>
  <c r="H48" i="2"/>
  <c r="G48" i="2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9" i="2"/>
  <c r="H39" i="2" s="1"/>
  <c r="F26" i="2"/>
  <c r="F28" i="2" s="1"/>
  <c r="F32" i="2" s="1"/>
  <c r="F37" i="2" s="1"/>
  <c r="F49" i="2" s="1"/>
  <c r="E27" i="2"/>
  <c r="E26" i="2"/>
  <c r="E25" i="2"/>
  <c r="D27" i="2"/>
  <c r="D26" i="2"/>
  <c r="D25" i="2"/>
  <c r="F48" i="2"/>
  <c r="E48" i="2"/>
  <c r="D48" i="2"/>
  <c r="F36" i="2"/>
  <c r="E36" i="2"/>
  <c r="D36" i="2"/>
  <c r="G32" i="2"/>
  <c r="G31" i="2"/>
  <c r="H31" i="2" s="1"/>
  <c r="F31" i="2"/>
  <c r="E31" i="2"/>
  <c r="D31" i="2"/>
  <c r="H30" i="2"/>
  <c r="G28" i="2"/>
  <c r="G43" i="1"/>
  <c r="G46" i="1"/>
  <c r="G45" i="1"/>
  <c r="H45" i="1" s="1"/>
  <c r="H43" i="1"/>
  <c r="G44" i="1"/>
  <c r="H44" i="1" s="1"/>
  <c r="G42" i="1"/>
  <c r="H42" i="1" s="1"/>
  <c r="G41" i="1"/>
  <c r="H41" i="1" s="1"/>
  <c r="G40" i="1"/>
  <c r="H40" i="1" s="1"/>
  <c r="G39" i="1"/>
  <c r="F26" i="1"/>
  <c r="D26" i="1"/>
  <c r="E26" i="1"/>
  <c r="E25" i="1"/>
  <c r="D25" i="1"/>
  <c r="E27" i="1"/>
  <c r="D27" i="1"/>
  <c r="G28" i="1"/>
  <c r="H46" i="1"/>
  <c r="H26" i="2" l="1"/>
  <c r="E28" i="2"/>
  <c r="E32" i="2" s="1"/>
  <c r="E37" i="2" s="1"/>
  <c r="E51" i="2" s="1"/>
  <c r="E52" i="2" s="1"/>
  <c r="H27" i="2"/>
  <c r="D28" i="2"/>
  <c r="D32" i="2" s="1"/>
  <c r="F51" i="2"/>
  <c r="F52" i="2" s="1"/>
  <c r="H25" i="2"/>
  <c r="F28" i="1"/>
  <c r="H27" i="1"/>
  <c r="H26" i="1"/>
  <c r="D28" i="1"/>
  <c r="E28" i="1"/>
  <c r="H28" i="2" l="1"/>
  <c r="H32" i="2" s="1"/>
  <c r="G34" i="2"/>
  <c r="G47" i="2"/>
  <c r="D37" i="2"/>
  <c r="D49" i="2" s="1"/>
  <c r="D52" i="2" s="1"/>
  <c r="G35" i="2"/>
  <c r="H35" i="2" s="1"/>
  <c r="F53" i="2"/>
  <c r="E53" i="2"/>
  <c r="D48" i="1"/>
  <c r="E48" i="1"/>
  <c r="F48" i="1"/>
  <c r="H39" i="1"/>
  <c r="E36" i="1"/>
  <c r="F36" i="1"/>
  <c r="D36" i="1"/>
  <c r="H30" i="1"/>
  <c r="G31" i="1"/>
  <c r="F31" i="1"/>
  <c r="E31" i="1"/>
  <c r="D31" i="1"/>
  <c r="G36" i="2" l="1"/>
  <c r="H36" i="2" s="1"/>
  <c r="H37" i="2" s="1"/>
  <c r="H34" i="2"/>
  <c r="H47" i="2"/>
  <c r="D53" i="2"/>
  <c r="D32" i="1"/>
  <c r="H31" i="1"/>
  <c r="F32" i="1"/>
  <c r="F37" i="1" s="1"/>
  <c r="F49" i="1" s="1"/>
  <c r="F53" i="1" s="1"/>
  <c r="G32" i="1"/>
  <c r="G37" i="2" l="1"/>
  <c r="G49" i="2" s="1"/>
  <c r="G53" i="2" s="1"/>
  <c r="D37" i="1"/>
  <c r="D49" i="1" s="1"/>
  <c r="F52" i="1"/>
  <c r="H49" i="2" l="1"/>
  <c r="H53" i="2" s="1"/>
  <c r="H25" i="1"/>
  <c r="H28" i="1" s="1"/>
  <c r="E32" i="1" l="1"/>
  <c r="G35" i="1" l="1"/>
  <c r="H35" i="1" s="1"/>
  <c r="G47" i="1"/>
  <c r="E37" i="1"/>
  <c r="E49" i="1" s="1"/>
  <c r="G34" i="1"/>
  <c r="H47" i="1" l="1"/>
  <c r="G36" i="1"/>
  <c r="H34" i="1"/>
  <c r="E52" i="1"/>
  <c r="D52" i="1"/>
  <c r="H36" i="1" l="1"/>
  <c r="G37" i="1"/>
  <c r="H32" i="1"/>
  <c r="D53" i="1"/>
  <c r="E53" i="1"/>
  <c r="G52" i="1" l="1"/>
  <c r="H52" i="1" s="1"/>
  <c r="H37" i="1"/>
  <c r="G53" i="1" l="1"/>
</calcChain>
</file>

<file path=xl/sharedStrings.xml><?xml version="1.0" encoding="utf-8"?>
<sst xmlns="http://schemas.openxmlformats.org/spreadsheetml/2006/main" count="124" uniqueCount="57">
  <si>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</si>
  <si>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</si>
  <si>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</si>
  <si>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</si>
  <si>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</si>
  <si>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</si>
  <si>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</si>
  <si>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</si>
  <si>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</si>
  <si>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</si>
  <si>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</si>
  <si>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</si>
  <si>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</si>
  <si>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</si>
  <si>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</si>
  <si>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</si>
  <si>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</si>
  <si>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</si>
  <si>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</si>
  <si>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</si>
  <si>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</si>
  <si>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</si>
  <si>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</si>
  <si>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</si>
  <si>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</si>
  <si>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</si>
  <si>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</si>
  <si>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</si>
  <si>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</si>
  <si>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</si>
  <si>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</si>
  <si>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</si>
  <si>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</si>
  <si>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</si>
  <si>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</si>
  <si>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</si>
  <si>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</si>
  <si>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</si>
  <si>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</si>
  <si>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</si>
  <si>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</si>
  <si>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 xml:space="preserve">Пусконаладочные работы </t>
  </si>
  <si>
    <t xml:space="preserve">Составлена в базовых ценах </t>
  </si>
  <si>
    <t>Составлена в ценах по состоянию на 4 кв.2022 г.</t>
  </si>
  <si>
    <t>Строительство КТП-10/0,4 кВ мощностью 1,26 МВА, КЛ-10 кВ протяженностью 0,12 км для технологического присоединения заявителя в соответствии с договором №08-023/005-ПС-21 в г.Сосновый Бор ЛО M_22-1-08-01-08-00-0-0002</t>
  </si>
  <si>
    <t>Строительство КТП-10/0,4 кВ мощностью 1,26 МВА, КЛ-10 кВ протяженностью 0,12 км для технологического присоединения заявителя в соответствии с договором №08-023/005-ПС-21 в г.Сосновый Бор ЛО 'M_22-1-08-01-08-00-0-0002</t>
  </si>
  <si>
    <t>СосБ, Стр-во 2КЛ-10 кВ от места врезки в КЛ-10 кВ (КЛ-10 кВ от ТП 15-6 до оп.1 в сторону ТП Н-1) до РУ-10 кВ (1 СШ) проектируемой 2КТП-10/0,4 кВ в г. Сосновый Бор ЛО (21-1-08-1-08-03-0-0973)</t>
  </si>
  <si>
    <t>Топосьемка СосБ, Стр-во 2КЛ-10 кВ от места врезки в КЛ-10 кВ (КЛ-10 кВ от ТП 15-6 до оп.1 в сторону ТП Н-1) до РУ-10 кВ (1 СШ) проектируемой 2КТП-10/0,4 кВ в г. Сосновый Бор ЛО (21-1-08-1-08-03-0-0973)</t>
  </si>
  <si>
    <t>Проект СосБ, Стр-во 2КЛ-10 кВ от места врезки в КЛ-10 кВ (КЛ-10 кВ от ТП 15-6 до оп.1 в сторону ТП Н-1) до РУ-10 кВ (1 СШ) проектируемой 2КТП-10/0,4 кВ в г. Сосновый Бор ЛО (21-1-08-1-08-03-0-0973)</t>
  </si>
  <si>
    <t>РТН СосБ, Стр-во 2КЛ-10 кВ от места врезки в КЛ-10 кВ (КЛ-10 кВ от ТП 15-6 до оп.1 в сторону ТП Н-1) до РУ-10 кВ (1 СШ) проектируемой 2КТП-10/0,4 кВ в г. Сосновый Бор ЛО (21-1-08-1-08-03-0-0973)</t>
  </si>
  <si>
    <t>СосБ, Стр-во 2КТП-10/0,4 кВ вблизи земельного участка заявителя в г. Сосновый Бор ЛО (21-1-08-1-08-03-0-0972)</t>
  </si>
  <si>
    <t>Проект СосБ, Стр-во 2КТП-10/0,4 кВ вблизи земельного участка заявителя в г. Сосновый Бор ЛО (21-1-08-1-08-03-0-0972)</t>
  </si>
  <si>
    <t>Топосьемка СосБ, Стр-во 2КТП-10/0,4 кВ вблизи земельного участка заявителя в г. Сосновый Бор ЛО (21-1-08-1-08-03-0-0972)</t>
  </si>
  <si>
    <t>РТН СосБ, Стр-во 2КТП-10/0,4 кВ вблизи земельного участка заявителя в г. Сосновый Бор ЛО (21-1-08-1-08-03-0-0972)</t>
  </si>
  <si>
    <t>СосБ, Стр-во КЛ-10 кВ от РУ-10 кВ ТП-14-6 до РУ-10 кВ (2 СШ) проектируемой 2КТП-10/0,4 кВ в г. Сосновый Бор ЛО (21-1-08-1-08-03-0-0974)</t>
  </si>
  <si>
    <t>Проект СосБ, Стр-во КЛ-10 кВ от РУ-10 кВ ТП-14-6 до РУ-10 кВ (2 СШ) проектируемой 2КТП-10/0,4 кВ в г. Сосновый Бор ЛО (21-1-08-1-08-03-0-0974)</t>
  </si>
  <si>
    <t>Топосьемка СосБ, Стр-во КЛ-10 кВ от РУ-10 кВ ТП-14-6 до РУ-10 кВ (2 СШ) проектируемой 2КТП-10/0,4 кВ в г. Сосновый Бор ЛО (21-1-08-1-08-03-0-0974)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</si>
</sst>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" fontId="1" fillId="0" borderId="0" xfId="0" applyNumberFormat="1" applyFont="1"/>
    <xf numFmtId="4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view="pageBreakPreview" topLeftCell="A7" zoomScale="70" zoomScaleNormal="75" zoomScaleSheetLayoutView="70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39</v>
      </c>
      <c r="C6" s="41"/>
      <c r="D6" s="24">
        <f>H53</f>
        <v>32688.418168072996</v>
      </c>
      <c r="E6" s="2" t="s">
        <v>38</v>
      </c>
      <c r="F6" s="2"/>
      <c r="G6" s="2"/>
      <c r="H6" s="2"/>
    </row>
    <row r="7" spans="2:8" x14ac:dyDescent="0.2">
      <c r="B7" s="42" t="s">
        <v>5</v>
      </c>
      <c r="C7" s="42"/>
      <c r="D7" s="2"/>
      <c r="E7" s="2" t="s">
        <v>38</v>
      </c>
      <c r="F7" s="2"/>
      <c r="G7" s="2"/>
      <c r="H7" s="2"/>
    </row>
    <row r="8" spans="2:8" ht="24.75" customHeight="1" x14ac:dyDescent="0.2">
      <c r="C8" s="35" t="s">
        <v>44</v>
      </c>
      <c r="D8" s="36"/>
      <c r="E8" s="36"/>
      <c r="F8" s="36"/>
      <c r="G8" s="36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7" t="s">
        <v>45</v>
      </c>
      <c r="D15" s="34"/>
      <c r="E15" s="34"/>
      <c r="F15" s="34"/>
      <c r="G15" s="34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43</v>
      </c>
      <c r="D18" s="13"/>
      <c r="E18" s="2"/>
      <c r="F18" s="2"/>
      <c r="G18" s="2"/>
      <c r="H18" s="2"/>
    </row>
    <row r="19" spans="1:8" ht="12.75" customHeight="1" x14ac:dyDescent="0.2">
      <c r="A19" s="38" t="s">
        <v>10</v>
      </c>
      <c r="B19" s="39" t="s">
        <v>11</v>
      </c>
      <c r="C19" s="39" t="s">
        <v>12</v>
      </c>
      <c r="D19" s="40" t="s">
        <v>13</v>
      </c>
      <c r="E19" s="40"/>
      <c r="F19" s="40"/>
      <c r="G19" s="40"/>
      <c r="H19" s="38" t="s">
        <v>14</v>
      </c>
    </row>
    <row r="20" spans="1:8" x14ac:dyDescent="0.2">
      <c r="A20" s="38"/>
      <c r="B20" s="39"/>
      <c r="C20" s="39"/>
      <c r="D20" s="38" t="s">
        <v>15</v>
      </c>
      <c r="E20" s="38" t="s">
        <v>16</v>
      </c>
      <c r="F20" s="38" t="s">
        <v>17</v>
      </c>
      <c r="G20" s="38" t="s">
        <v>18</v>
      </c>
      <c r="H20" s="38"/>
    </row>
    <row r="21" spans="1:8" x14ac:dyDescent="0.2">
      <c r="A21" s="38"/>
      <c r="B21" s="39"/>
      <c r="C21" s="39"/>
      <c r="D21" s="38"/>
      <c r="E21" s="38"/>
      <c r="F21" s="38"/>
      <c r="G21" s="38"/>
      <c r="H21" s="38"/>
    </row>
    <row r="22" spans="1:8" x14ac:dyDescent="0.2">
      <c r="A22" s="38"/>
      <c r="B22" s="39"/>
      <c r="C22" s="39"/>
      <c r="D22" s="38"/>
      <c r="E22" s="38"/>
      <c r="F22" s="38"/>
      <c r="G22" s="38"/>
      <c r="H22" s="38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2" t="s">
        <v>19</v>
      </c>
      <c r="B24" s="33"/>
      <c r="C24" s="33"/>
      <c r="D24" s="33"/>
      <c r="E24" s="33"/>
      <c r="F24" s="33"/>
      <c r="G24" s="33"/>
      <c r="H24" s="33"/>
    </row>
    <row r="25" spans="1:8" ht="51" x14ac:dyDescent="0.2">
      <c r="A25" s="18">
        <v>1</v>
      </c>
      <c r="B25" s="19" t="s">
        <v>20</v>
      </c>
      <c r="C25" s="25" t="s">
        <v>46</v>
      </c>
      <c r="D25" s="27">
        <f>(2700683.96+803513.02)/1000/1.2*0.7</f>
        <v>2044.1149049999999</v>
      </c>
      <c r="E25" s="27">
        <f>(2700683.96+803513.02)/1000/1.2*0.3</f>
        <v>876.04924500000004</v>
      </c>
      <c r="F25" s="21"/>
      <c r="G25" s="21">
        <v>0</v>
      </c>
      <c r="H25" s="20">
        <f>D25+E25+G25+F25</f>
        <v>2920.1641500000001</v>
      </c>
    </row>
    <row r="26" spans="1:8" ht="25.5" x14ac:dyDescent="0.2">
      <c r="A26" s="18">
        <v>2</v>
      </c>
      <c r="B26" s="19" t="s">
        <v>20</v>
      </c>
      <c r="C26" s="25" t="s">
        <v>50</v>
      </c>
      <c r="D26" s="27">
        <f>(7773052.49-6336000)/1000/1.2*0.7</f>
        <v>838.28061916666672</v>
      </c>
      <c r="E26" s="27">
        <f>7773052.49/1000/1.2*0.3</f>
        <v>1943.2631225</v>
      </c>
      <c r="F26" s="21">
        <f>5280000/1000</f>
        <v>5280</v>
      </c>
      <c r="G26" s="21">
        <v>0</v>
      </c>
      <c r="H26" s="20">
        <f t="shared" ref="H26:H27" si="0">D26+E26+G26+F26</f>
        <v>8061.5437416666664</v>
      </c>
    </row>
    <row r="27" spans="1:8" ht="38.25" x14ac:dyDescent="0.2">
      <c r="A27" s="18">
        <v>3</v>
      </c>
      <c r="B27" s="19" t="s">
        <v>20</v>
      </c>
      <c r="C27" s="25" t="s">
        <v>54</v>
      </c>
      <c r="D27" s="27">
        <f>(9049725.98+3797609.04)/1000/1.2*0.7</f>
        <v>7494.2787616666674</v>
      </c>
      <c r="E27" s="27">
        <f>(9049725.98+3797609.04)/1000/1.2*0.3</f>
        <v>3211.8337550000001</v>
      </c>
      <c r="F27" s="21"/>
      <c r="G27" s="21">
        <v>0</v>
      </c>
      <c r="H27" s="20">
        <f t="shared" si="0"/>
        <v>10706.112516666668</v>
      </c>
    </row>
    <row r="28" spans="1:8" x14ac:dyDescent="0.2">
      <c r="A28" s="22"/>
      <c r="B28" s="30" t="s">
        <v>21</v>
      </c>
      <c r="C28" s="31"/>
      <c r="D28" s="20">
        <f>D25+D26+D27</f>
        <v>10376.674285833335</v>
      </c>
      <c r="E28" s="20">
        <f t="shared" ref="E28:G28" si="1">E25+E26+E27</f>
        <v>6031.1461225000003</v>
      </c>
      <c r="F28" s="20">
        <f t="shared" si="1"/>
        <v>5280</v>
      </c>
      <c r="G28" s="20">
        <f t="shared" si="1"/>
        <v>0</v>
      </c>
      <c r="H28" s="20">
        <f>H25+H26+H27</f>
        <v>21687.820408333333</v>
      </c>
    </row>
    <row r="29" spans="1:8" x14ac:dyDescent="0.2">
      <c r="A29" s="32" t="s">
        <v>22</v>
      </c>
      <c r="B29" s="33"/>
      <c r="C29" s="33"/>
      <c r="D29" s="33"/>
      <c r="E29" s="33"/>
      <c r="F29" s="33"/>
      <c r="G29" s="33"/>
      <c r="H29" s="33"/>
    </row>
    <row r="30" spans="1:8" x14ac:dyDescent="0.2">
      <c r="A30" s="18">
        <v>4</v>
      </c>
      <c r="B30" s="19" t="s">
        <v>20</v>
      </c>
      <c r="C30" s="19" t="s">
        <v>41</v>
      </c>
      <c r="D30" s="21"/>
      <c r="E30" s="21"/>
      <c r="F30" s="21"/>
      <c r="G30" s="20"/>
      <c r="H30" s="20">
        <f>G30+D30+E30+F30</f>
        <v>0</v>
      </c>
    </row>
    <row r="31" spans="1:8" x14ac:dyDescent="0.2">
      <c r="A31" s="22"/>
      <c r="B31" s="30" t="s">
        <v>23</v>
      </c>
      <c r="C31" s="31"/>
      <c r="D31" s="21">
        <f>D30</f>
        <v>0</v>
      </c>
      <c r="E31" s="21">
        <f>E30</f>
        <v>0</v>
      </c>
      <c r="F31" s="21">
        <f>F30</f>
        <v>0</v>
      </c>
      <c r="G31" s="20">
        <f>G30</f>
        <v>0</v>
      </c>
      <c r="H31" s="20">
        <f>G31+F31+E31+D31</f>
        <v>0</v>
      </c>
    </row>
    <row r="32" spans="1:8" x14ac:dyDescent="0.2">
      <c r="A32" s="22"/>
      <c r="B32" s="30" t="s">
        <v>24</v>
      </c>
      <c r="C32" s="31"/>
      <c r="D32" s="20">
        <f>D28+D31</f>
        <v>10376.674285833335</v>
      </c>
      <c r="E32" s="20">
        <f t="shared" ref="E32:G32" si="2">E28+E31</f>
        <v>6031.1461225000003</v>
      </c>
      <c r="F32" s="20">
        <f t="shared" si="2"/>
        <v>5280</v>
      </c>
      <c r="G32" s="20">
        <f t="shared" si="2"/>
        <v>0</v>
      </c>
      <c r="H32" s="20">
        <f>H28+H31</f>
        <v>21687.820408333333</v>
      </c>
    </row>
    <row r="33" spans="1:9" x14ac:dyDescent="0.2">
      <c r="A33" s="32" t="s">
        <v>35</v>
      </c>
      <c r="B33" s="33"/>
      <c r="C33" s="33"/>
      <c r="D33" s="33"/>
      <c r="E33" s="33"/>
      <c r="F33" s="33"/>
      <c r="G33" s="33"/>
      <c r="H33" s="33"/>
    </row>
    <row r="34" spans="1:9" ht="38.25" x14ac:dyDescent="0.2">
      <c r="A34" s="18">
        <v>5</v>
      </c>
      <c r="B34" s="19" t="s">
        <v>40</v>
      </c>
      <c r="C34" s="19" t="s">
        <v>33</v>
      </c>
      <c r="D34" s="21"/>
      <c r="E34" s="21"/>
      <c r="F34" s="21"/>
      <c r="G34" s="20">
        <f>(D32+E32+F32)/100*2.14</f>
        <v>464.11935673833341</v>
      </c>
      <c r="H34" s="20">
        <f>D34+E34+F34+G34</f>
        <v>464.11935673833341</v>
      </c>
    </row>
    <row r="35" spans="1:9" ht="38.25" x14ac:dyDescent="0.2">
      <c r="A35" s="18">
        <v>6</v>
      </c>
      <c r="B35" s="19" t="s">
        <v>40</v>
      </c>
      <c r="C35" s="26" t="s">
        <v>34</v>
      </c>
      <c r="D35" s="21"/>
      <c r="E35" s="21"/>
      <c r="F35" s="21"/>
      <c r="G35" s="20">
        <f>(D32+E32+F32+G39+G42+G43+G44+G45+G46+G32+G40+G41)/100*8.44</f>
        <v>1974.9311696633329</v>
      </c>
      <c r="H35" s="20">
        <f>D35+E35+F35+G35</f>
        <v>1974.9311696633329</v>
      </c>
    </row>
    <row r="36" spans="1:9" x14ac:dyDescent="0.2">
      <c r="A36" s="22"/>
      <c r="B36" s="30" t="s">
        <v>36</v>
      </c>
      <c r="C36" s="31"/>
      <c r="D36" s="21">
        <f>D34+D35</f>
        <v>0</v>
      </c>
      <c r="E36" s="21">
        <f t="shared" ref="E36:F36" si="3">E34+E35</f>
        <v>0</v>
      </c>
      <c r="F36" s="21">
        <f t="shared" si="3"/>
        <v>0</v>
      </c>
      <c r="G36" s="21">
        <f>G34+G35</f>
        <v>2439.0505264016665</v>
      </c>
      <c r="H36" s="20">
        <f>D36+E36+F36+G36</f>
        <v>2439.0505264016665</v>
      </c>
    </row>
    <row r="37" spans="1:9" x14ac:dyDescent="0.2">
      <c r="A37" s="22"/>
      <c r="B37" s="30" t="s">
        <v>37</v>
      </c>
      <c r="C37" s="31"/>
      <c r="D37" s="20">
        <f>D32+D36</f>
        <v>10376.674285833335</v>
      </c>
      <c r="E37" s="20">
        <f t="shared" ref="E37:F37" si="4">E32+E36</f>
        <v>6031.1461225000003</v>
      </c>
      <c r="F37" s="20">
        <f t="shared" si="4"/>
        <v>5280</v>
      </c>
      <c r="G37" s="20">
        <f>G32+G36</f>
        <v>2439.0505264016665</v>
      </c>
      <c r="H37" s="20">
        <f>H36+H32</f>
        <v>24126.870934735001</v>
      </c>
    </row>
    <row r="38" spans="1:9" x14ac:dyDescent="0.2">
      <c r="A38" s="32" t="s">
        <v>25</v>
      </c>
      <c r="B38" s="33"/>
      <c r="C38" s="33"/>
      <c r="D38" s="33"/>
      <c r="E38" s="33"/>
      <c r="F38" s="33"/>
      <c r="G38" s="33"/>
      <c r="H38" s="33"/>
    </row>
    <row r="39" spans="1:9" ht="51" x14ac:dyDescent="0.2">
      <c r="A39" s="18">
        <v>7</v>
      </c>
      <c r="B39" s="23"/>
      <c r="C39" s="19" t="s">
        <v>48</v>
      </c>
      <c r="D39" s="21"/>
      <c r="E39" s="21"/>
      <c r="F39" s="21"/>
      <c r="G39" s="20">
        <f>268402.25/1000/1.2</f>
        <v>223.66854166666667</v>
      </c>
      <c r="H39" s="20">
        <f>G39+F39+E39+D39</f>
        <v>223.66854166666667</v>
      </c>
      <c r="I39" s="4">
        <f>(H39+H40+H41)*1.2</f>
        <v>1744.3056000000001</v>
      </c>
    </row>
    <row r="40" spans="1:9" ht="38.25" x14ac:dyDescent="0.2">
      <c r="A40" s="18">
        <v>8</v>
      </c>
      <c r="B40" s="23"/>
      <c r="C40" s="19" t="s">
        <v>51</v>
      </c>
      <c r="D40" s="21"/>
      <c r="E40" s="21"/>
      <c r="F40" s="21"/>
      <c r="G40" s="20">
        <f>494304.98/1000/1.2</f>
        <v>411.92081666666667</v>
      </c>
      <c r="H40" s="20">
        <f t="shared" ref="H40:H46" si="5">G40+F40+E40+D40</f>
        <v>411.92081666666667</v>
      </c>
    </row>
    <row r="41" spans="1:9" ht="38.25" x14ac:dyDescent="0.2">
      <c r="A41" s="18">
        <v>9</v>
      </c>
      <c r="B41" s="23"/>
      <c r="C41" s="19" t="s">
        <v>55</v>
      </c>
      <c r="D41" s="21"/>
      <c r="E41" s="21"/>
      <c r="F41" s="21"/>
      <c r="G41" s="20">
        <f>981598.37/1000/1.2</f>
        <v>817.99864166666669</v>
      </c>
      <c r="H41" s="20">
        <f t="shared" si="5"/>
        <v>817.99864166666669</v>
      </c>
    </row>
    <row r="42" spans="1:9" ht="51" x14ac:dyDescent="0.2">
      <c r="A42" s="18">
        <v>10</v>
      </c>
      <c r="B42" s="23"/>
      <c r="C42" s="19" t="s">
        <v>47</v>
      </c>
      <c r="D42" s="21"/>
      <c r="E42" s="21"/>
      <c r="F42" s="21"/>
      <c r="G42" s="20">
        <f>107550/1000/1.2</f>
        <v>89.625</v>
      </c>
      <c r="H42" s="20">
        <f t="shared" si="5"/>
        <v>89.625</v>
      </c>
    </row>
    <row r="43" spans="1:9" ht="38.25" x14ac:dyDescent="0.2">
      <c r="A43" s="18">
        <v>11</v>
      </c>
      <c r="B43" s="23"/>
      <c r="C43" s="19" t="s">
        <v>52</v>
      </c>
      <c r="D43" s="21"/>
      <c r="E43" s="21"/>
      <c r="F43" s="21"/>
      <c r="G43" s="20">
        <f>34800/1000/1.2</f>
        <v>29</v>
      </c>
      <c r="H43" s="20">
        <f t="shared" si="5"/>
        <v>29</v>
      </c>
    </row>
    <row r="44" spans="1:9" ht="38.25" x14ac:dyDescent="0.2">
      <c r="A44" s="18">
        <v>12</v>
      </c>
      <c r="B44" s="23"/>
      <c r="C44" s="19" t="s">
        <v>56</v>
      </c>
      <c r="D44" s="21"/>
      <c r="E44" s="21"/>
      <c r="F44" s="21"/>
      <c r="G44" s="20">
        <f>107550/1000/1.2</f>
        <v>89.625</v>
      </c>
      <c r="H44" s="20">
        <f t="shared" si="5"/>
        <v>89.625</v>
      </c>
    </row>
    <row r="45" spans="1:9" ht="51" x14ac:dyDescent="0.2">
      <c r="A45" s="18">
        <v>13</v>
      </c>
      <c r="B45" s="23"/>
      <c r="C45" s="19" t="s">
        <v>49</v>
      </c>
      <c r="D45" s="21"/>
      <c r="E45" s="21"/>
      <c r="F45" s="21"/>
      <c r="G45" s="20">
        <f>30000/1000/1.2</f>
        <v>25</v>
      </c>
      <c r="H45" s="20">
        <f t="shared" si="5"/>
        <v>25</v>
      </c>
    </row>
    <row r="46" spans="1:9" ht="41.25" customHeight="1" x14ac:dyDescent="0.2">
      <c r="A46" s="18">
        <v>14</v>
      </c>
      <c r="B46" s="23"/>
      <c r="C46" s="19" t="s">
        <v>53</v>
      </c>
      <c r="D46" s="21"/>
      <c r="E46" s="21"/>
      <c r="F46" s="21"/>
      <c r="G46" s="20">
        <f>30000/1000/1.2</f>
        <v>25</v>
      </c>
      <c r="H46" s="20">
        <f t="shared" si="5"/>
        <v>25</v>
      </c>
    </row>
    <row r="47" spans="1:9" ht="38.25" x14ac:dyDescent="0.2">
      <c r="A47" s="18">
        <v>15</v>
      </c>
      <c r="B47" s="19" t="s">
        <v>40</v>
      </c>
      <c r="C47" s="19" t="s">
        <v>32</v>
      </c>
      <c r="D47" s="21"/>
      <c r="E47" s="21"/>
      <c r="F47" s="21"/>
      <c r="G47" s="20">
        <f>(D32+E32+F32+G39+G42+G43+G44+G45+G46+G32+G40+G41)/100*5.99</f>
        <v>1401.6395386591664</v>
      </c>
      <c r="H47" s="20">
        <f t="shared" ref="H47" si="6">G47+F47+E47+D47</f>
        <v>1401.6395386591664</v>
      </c>
    </row>
    <row r="48" spans="1:9" x14ac:dyDescent="0.2">
      <c r="A48" s="22"/>
      <c r="B48" s="30" t="s">
        <v>26</v>
      </c>
      <c r="C48" s="31"/>
      <c r="D48" s="20">
        <f t="shared" ref="D48:F48" si="7">D39+D42+D43+D44+D45+D46+D47</f>
        <v>0</v>
      </c>
      <c r="E48" s="20">
        <f t="shared" si="7"/>
        <v>0</v>
      </c>
      <c r="F48" s="20">
        <f t="shared" si="7"/>
        <v>0</v>
      </c>
      <c r="G48" s="20">
        <f>G39+G42+G43+G44+G45+G46+G47+G40+G41</f>
        <v>3113.4775386591664</v>
      </c>
      <c r="H48" s="20">
        <f>G48+F48+E48+D48</f>
        <v>3113.4775386591664</v>
      </c>
    </row>
    <row r="49" spans="1:9" x14ac:dyDescent="0.2">
      <c r="A49" s="22"/>
      <c r="B49" s="30" t="s">
        <v>27</v>
      </c>
      <c r="C49" s="31"/>
      <c r="D49" s="20">
        <f>D37+D48</f>
        <v>10376.674285833335</v>
      </c>
      <c r="E49" s="20">
        <f t="shared" ref="E49:F49" si="8">E37+E48</f>
        <v>6031.1461225000003</v>
      </c>
      <c r="F49" s="20">
        <f t="shared" si="8"/>
        <v>5280</v>
      </c>
      <c r="G49" s="20">
        <f>G37+G48</f>
        <v>5552.5280650608329</v>
      </c>
      <c r="H49" s="20">
        <f>D49+E49+F49+G49</f>
        <v>27240.348473394166</v>
      </c>
    </row>
    <row r="50" spans="1:9" x14ac:dyDescent="0.2">
      <c r="A50" s="32" t="s">
        <v>28</v>
      </c>
      <c r="B50" s="33"/>
      <c r="C50" s="33"/>
      <c r="D50" s="33"/>
      <c r="E50" s="33"/>
      <c r="F50" s="33"/>
      <c r="G50" s="33"/>
      <c r="H50" s="33"/>
    </row>
    <row r="51" spans="1:9" x14ac:dyDescent="0.2">
      <c r="A51" s="18">
        <v>16</v>
      </c>
      <c r="B51" s="23"/>
      <c r="C51" s="19" t="s">
        <v>29</v>
      </c>
      <c r="D51" s="20">
        <f>D49/100*20</f>
        <v>2075.334857166667</v>
      </c>
      <c r="E51" s="20">
        <f>E49/100*20</f>
        <v>1206.2292245000001</v>
      </c>
      <c r="F51" s="20">
        <f>F49/100*20</f>
        <v>1056</v>
      </c>
      <c r="G51" s="20">
        <f>(G32+G39+G42+G43+G44+G45+G46+G40+G41+G47+G36)/100*20</f>
        <v>1110.5056130121666</v>
      </c>
      <c r="H51" s="20">
        <f>(H32+H39+H42+H43+H44+H45+H46+H40+H41+H47+H36)/100*20</f>
        <v>5448.0696946788321</v>
      </c>
    </row>
    <row r="52" spans="1:9" x14ac:dyDescent="0.2">
      <c r="A52" s="22"/>
      <c r="B52" s="30" t="s">
        <v>30</v>
      </c>
      <c r="C52" s="31"/>
      <c r="D52" s="20">
        <f>D51</f>
        <v>2075.334857166667</v>
      </c>
      <c r="E52" s="20">
        <f>E51</f>
        <v>1206.2292245000001</v>
      </c>
      <c r="F52" s="21">
        <f>F51</f>
        <v>1056</v>
      </c>
      <c r="G52" s="20">
        <f>G51</f>
        <v>1110.5056130121666</v>
      </c>
      <c r="H52" s="20">
        <f>D52+E52+F52+G52</f>
        <v>5448.0696946788339</v>
      </c>
    </row>
    <row r="53" spans="1:9" x14ac:dyDescent="0.2">
      <c r="A53" s="22"/>
      <c r="B53" s="30" t="s">
        <v>31</v>
      </c>
      <c r="C53" s="31"/>
      <c r="D53" s="20">
        <f>D49+D51</f>
        <v>12452.009143000001</v>
      </c>
      <c r="E53" s="20">
        <f>E49+E51</f>
        <v>7237.3753470000001</v>
      </c>
      <c r="F53" s="20">
        <f t="shared" ref="F53" si="9">F49+F51</f>
        <v>6336</v>
      </c>
      <c r="G53" s="20">
        <f>G49+G51</f>
        <v>6663.0336780729995</v>
      </c>
      <c r="H53" s="20">
        <f>H49+H51</f>
        <v>32688.418168072996</v>
      </c>
      <c r="I53" s="28"/>
    </row>
    <row r="54" spans="1:9" x14ac:dyDescent="0.2">
      <c r="E54" s="29"/>
      <c r="G54" s="29"/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9:C49"/>
    <mergeCell ref="A50:H50"/>
    <mergeCell ref="B52:C52"/>
    <mergeCell ref="B53:C53"/>
    <mergeCell ref="B28:C28"/>
    <mergeCell ref="A29:H29"/>
    <mergeCell ref="B31:C31"/>
    <mergeCell ref="B32:C32"/>
    <mergeCell ref="A38:H38"/>
    <mergeCell ref="B48:C48"/>
    <mergeCell ref="A33:H33"/>
    <mergeCell ref="B36:C36"/>
    <mergeCell ref="B37:C37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  <ignoredErrors>
    <ignoredError sqref="G4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view="pageBreakPreview" zoomScale="70" zoomScaleNormal="75" zoomScaleSheetLayoutView="70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39</v>
      </c>
      <c r="C6" s="41"/>
      <c r="D6" s="24">
        <f>H53</f>
        <v>4787.817883161073</v>
      </c>
      <c r="E6" s="2" t="s">
        <v>38</v>
      </c>
      <c r="F6" s="2"/>
      <c r="G6" s="2"/>
      <c r="H6" s="2"/>
    </row>
    <row r="7" spans="2:8" x14ac:dyDescent="0.2">
      <c r="B7" s="42" t="s">
        <v>5</v>
      </c>
      <c r="C7" s="42"/>
      <c r="D7" s="2"/>
      <c r="E7" s="2" t="s">
        <v>38</v>
      </c>
      <c r="F7" s="2"/>
      <c r="G7" s="2"/>
      <c r="H7" s="2"/>
    </row>
    <row r="8" spans="2:8" ht="24.75" customHeight="1" x14ac:dyDescent="0.2">
      <c r="C8" s="46" t="s">
        <v>45</v>
      </c>
      <c r="D8" s="36"/>
      <c r="E8" s="36"/>
      <c r="F8" s="36"/>
      <c r="G8" s="36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7" t="s">
        <v>45</v>
      </c>
      <c r="D15" s="34"/>
      <c r="E15" s="34"/>
      <c r="F15" s="34"/>
      <c r="G15" s="34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42</v>
      </c>
      <c r="D18" s="13"/>
      <c r="E18" s="2"/>
      <c r="F18" s="2"/>
      <c r="G18" s="2"/>
      <c r="H18" s="2"/>
    </row>
    <row r="19" spans="1:8" ht="12.75" customHeight="1" x14ac:dyDescent="0.2">
      <c r="A19" s="47" t="s">
        <v>10</v>
      </c>
      <c r="B19" s="50" t="s">
        <v>11</v>
      </c>
      <c r="C19" s="50" t="s">
        <v>12</v>
      </c>
      <c r="D19" s="53" t="s">
        <v>13</v>
      </c>
      <c r="E19" s="54"/>
      <c r="F19" s="54"/>
      <c r="G19" s="55"/>
      <c r="H19" s="47" t="s">
        <v>14</v>
      </c>
    </row>
    <row r="20" spans="1:8" ht="12.75" customHeight="1" x14ac:dyDescent="0.2">
      <c r="A20" s="48"/>
      <c r="B20" s="51"/>
      <c r="C20" s="51"/>
      <c r="D20" s="47" t="s">
        <v>15</v>
      </c>
      <c r="E20" s="47" t="s">
        <v>16</v>
      </c>
      <c r="F20" s="47" t="s">
        <v>17</v>
      </c>
      <c r="G20" s="47" t="s">
        <v>18</v>
      </c>
      <c r="H20" s="48"/>
    </row>
    <row r="21" spans="1:8" x14ac:dyDescent="0.2">
      <c r="A21" s="48"/>
      <c r="B21" s="51"/>
      <c r="C21" s="51"/>
      <c r="D21" s="48"/>
      <c r="E21" s="48"/>
      <c r="F21" s="48"/>
      <c r="G21" s="48"/>
      <c r="H21" s="48"/>
    </row>
    <row r="22" spans="1:8" ht="12.75" customHeight="1" x14ac:dyDescent="0.2">
      <c r="A22" s="49"/>
      <c r="B22" s="52"/>
      <c r="C22" s="52"/>
      <c r="D22" s="49"/>
      <c r="E22" s="49"/>
      <c r="F22" s="49"/>
      <c r="G22" s="49"/>
      <c r="H22" s="49"/>
    </row>
    <row r="23" spans="1:8" ht="12.75" customHeight="1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43" t="s">
        <v>19</v>
      </c>
      <c r="B24" s="44"/>
      <c r="C24" s="44"/>
      <c r="D24" s="44"/>
      <c r="E24" s="44"/>
      <c r="F24" s="44"/>
      <c r="G24" s="44"/>
      <c r="H24" s="45"/>
    </row>
    <row r="25" spans="1:8" ht="51" x14ac:dyDescent="0.2">
      <c r="A25" s="18">
        <v>1</v>
      </c>
      <c r="B25" s="19" t="s">
        <v>20</v>
      </c>
      <c r="C25" s="25" t="s">
        <v>46</v>
      </c>
      <c r="D25" s="27">
        <f>(2700683.96+803513.02)/1000/1.2*0.7/7.21</f>
        <v>283.51108252427184</v>
      </c>
      <c r="E25" s="27">
        <f>(2700683.96+803513.02)/1000/1.2*0.3/7.21</f>
        <v>121.50474965325937</v>
      </c>
      <c r="F25" s="21"/>
      <c r="G25" s="21">
        <v>0</v>
      </c>
      <c r="H25" s="20">
        <f>D25+E25+G25+F25</f>
        <v>405.01583217753119</v>
      </c>
    </row>
    <row r="26" spans="1:8" ht="25.5" x14ac:dyDescent="0.2">
      <c r="A26" s="18">
        <v>2</v>
      </c>
      <c r="B26" s="19" t="s">
        <v>20</v>
      </c>
      <c r="C26" s="25" t="s">
        <v>50</v>
      </c>
      <c r="D26" s="27">
        <f>(7773052.49-6336000)/1000/1.2*0.7/7.21</f>
        <v>116.26638268608416</v>
      </c>
      <c r="E26" s="27">
        <f>7773052.49/1000/1.2*0.3/7.21</f>
        <v>269.52331796116505</v>
      </c>
      <c r="F26" s="21">
        <f>5280000/1000/6.19</f>
        <v>852.9886914378028</v>
      </c>
      <c r="G26" s="21">
        <v>0</v>
      </c>
      <c r="H26" s="20">
        <f t="shared" ref="H26:H27" si="0">D26+E26+G26+F26</f>
        <v>1238.778392085052</v>
      </c>
    </row>
    <row r="27" spans="1:8" ht="38.25" x14ac:dyDescent="0.2">
      <c r="A27" s="18">
        <v>3</v>
      </c>
      <c r="B27" s="19" t="s">
        <v>20</v>
      </c>
      <c r="C27" s="25" t="s">
        <v>54</v>
      </c>
      <c r="D27" s="27">
        <f>(9049725.98+3797609.04)/1000/1.2*0.7/7.21</f>
        <v>1039.4283996763754</v>
      </c>
      <c r="E27" s="27">
        <f>(9049725.98+3797609.04)/1000/1.2*0.3/7.21</f>
        <v>445.46931414701805</v>
      </c>
      <c r="F27" s="21"/>
      <c r="G27" s="21">
        <v>0</v>
      </c>
      <c r="H27" s="20">
        <f t="shared" si="0"/>
        <v>1484.8977138233936</v>
      </c>
    </row>
    <row r="28" spans="1:8" x14ac:dyDescent="0.2">
      <c r="A28" s="22"/>
      <c r="B28" s="30" t="s">
        <v>21</v>
      </c>
      <c r="C28" s="31"/>
      <c r="D28" s="20">
        <f>D25+D26+D27</f>
        <v>1439.2058648867314</v>
      </c>
      <c r="E28" s="20">
        <f t="shared" ref="E28:G28" si="1">E25+E26+E27</f>
        <v>836.49738176144251</v>
      </c>
      <c r="F28" s="20">
        <f t="shared" si="1"/>
        <v>852.9886914378028</v>
      </c>
      <c r="G28" s="20">
        <f t="shared" si="1"/>
        <v>0</v>
      </c>
      <c r="H28" s="20">
        <f>H25+H26+H27</f>
        <v>3128.6919380859767</v>
      </c>
    </row>
    <row r="29" spans="1:8" ht="12.75" customHeight="1" x14ac:dyDescent="0.2">
      <c r="A29" s="32" t="s">
        <v>22</v>
      </c>
      <c r="B29" s="33"/>
      <c r="C29" s="33"/>
      <c r="D29" s="33"/>
      <c r="E29" s="33"/>
      <c r="F29" s="33"/>
      <c r="G29" s="33"/>
      <c r="H29" s="33"/>
    </row>
    <row r="30" spans="1:8" ht="12.75" customHeight="1" x14ac:dyDescent="0.2">
      <c r="A30" s="18">
        <v>4</v>
      </c>
      <c r="B30" s="19" t="s">
        <v>20</v>
      </c>
      <c r="C30" s="19" t="s">
        <v>41</v>
      </c>
      <c r="D30" s="21"/>
      <c r="E30" s="21"/>
      <c r="F30" s="21"/>
      <c r="G30" s="20"/>
      <c r="H30" s="20">
        <f>G30+D30+E30+F30</f>
        <v>0</v>
      </c>
    </row>
    <row r="31" spans="1:8" ht="12.75" customHeight="1" x14ac:dyDescent="0.2">
      <c r="A31" s="22"/>
      <c r="B31" s="30" t="s">
        <v>23</v>
      </c>
      <c r="C31" s="31"/>
      <c r="D31" s="21">
        <f>D30</f>
        <v>0</v>
      </c>
      <c r="E31" s="21">
        <f>E30</f>
        <v>0</v>
      </c>
      <c r="F31" s="21">
        <f>F30</f>
        <v>0</v>
      </c>
      <c r="G31" s="20">
        <f>G30</f>
        <v>0</v>
      </c>
      <c r="H31" s="20">
        <f>G31+F31+E31+D31</f>
        <v>0</v>
      </c>
    </row>
    <row r="32" spans="1:8" ht="12.75" customHeight="1" x14ac:dyDescent="0.2">
      <c r="A32" s="22"/>
      <c r="B32" s="30" t="s">
        <v>24</v>
      </c>
      <c r="C32" s="31"/>
      <c r="D32" s="20">
        <f>D28+D31</f>
        <v>1439.2058648867314</v>
      </c>
      <c r="E32" s="20">
        <f t="shared" ref="E32:G32" si="2">E28+E31</f>
        <v>836.49738176144251</v>
      </c>
      <c r="F32" s="20">
        <f t="shared" si="2"/>
        <v>852.9886914378028</v>
      </c>
      <c r="G32" s="20">
        <f t="shared" si="2"/>
        <v>0</v>
      </c>
      <c r="H32" s="20">
        <f>H28+H31</f>
        <v>3128.6919380859767</v>
      </c>
    </row>
    <row r="33" spans="1:8" x14ac:dyDescent="0.2">
      <c r="A33" s="32" t="s">
        <v>35</v>
      </c>
      <c r="B33" s="33"/>
      <c r="C33" s="33"/>
      <c r="D33" s="33"/>
      <c r="E33" s="33"/>
      <c r="F33" s="33"/>
      <c r="G33" s="33"/>
      <c r="H33" s="33"/>
    </row>
    <row r="34" spans="1:8" ht="38.25" x14ac:dyDescent="0.2">
      <c r="A34" s="18">
        <v>5</v>
      </c>
      <c r="B34" s="19" t="s">
        <v>40</v>
      </c>
      <c r="C34" s="19" t="s">
        <v>33</v>
      </c>
      <c r="D34" s="21"/>
      <c r="E34" s="21"/>
      <c r="F34" s="21"/>
      <c r="G34" s="20">
        <f>(D32+E32+F32)/100*2.14</f>
        <v>66.954007475039916</v>
      </c>
      <c r="H34" s="20">
        <f>D34+E34+F34+G34</f>
        <v>66.954007475039916</v>
      </c>
    </row>
    <row r="35" spans="1:8" ht="38.25" x14ac:dyDescent="0.2">
      <c r="A35" s="18">
        <v>6</v>
      </c>
      <c r="B35" s="19" t="s">
        <v>40</v>
      </c>
      <c r="C35" s="26" t="s">
        <v>34</v>
      </c>
      <c r="D35" s="21"/>
      <c r="E35" s="21"/>
      <c r="F35" s="21"/>
      <c r="G35" s="20">
        <f>(D32+E32+F32+G39+G42+G43+G44+G45+G46+G32+G40+G41)/100*8.44</f>
        <v>289.34044646051626</v>
      </c>
      <c r="H35" s="20">
        <f>D35+E35+F35+G35</f>
        <v>289.34044646051626</v>
      </c>
    </row>
    <row r="36" spans="1:8" ht="12.75" customHeight="1" x14ac:dyDescent="0.2">
      <c r="A36" s="22"/>
      <c r="B36" s="30" t="s">
        <v>36</v>
      </c>
      <c r="C36" s="31"/>
      <c r="D36" s="21">
        <f>D34+D35</f>
        <v>0</v>
      </c>
      <c r="E36" s="21">
        <f t="shared" ref="E36:F36" si="3">E34+E35</f>
        <v>0</v>
      </c>
      <c r="F36" s="21">
        <f t="shared" si="3"/>
        <v>0</v>
      </c>
      <c r="G36" s="21">
        <f>G34+G35</f>
        <v>356.29445393555619</v>
      </c>
      <c r="H36" s="20">
        <f>D36+E36+F36+G36</f>
        <v>356.29445393555619</v>
      </c>
    </row>
    <row r="37" spans="1:8" x14ac:dyDescent="0.2">
      <c r="A37" s="22"/>
      <c r="B37" s="30" t="s">
        <v>37</v>
      </c>
      <c r="C37" s="31"/>
      <c r="D37" s="20">
        <f>D32+D36</f>
        <v>1439.2058648867314</v>
      </c>
      <c r="E37" s="20">
        <f t="shared" ref="E37:F37" si="4">E32+E36</f>
        <v>836.49738176144251</v>
      </c>
      <c r="F37" s="20">
        <f t="shared" si="4"/>
        <v>852.9886914378028</v>
      </c>
      <c r="G37" s="20">
        <f>G32+G36</f>
        <v>356.29445393555619</v>
      </c>
      <c r="H37" s="20">
        <f>H36+H32</f>
        <v>3484.986392021533</v>
      </c>
    </row>
    <row r="38" spans="1:8" x14ac:dyDescent="0.2">
      <c r="A38" s="32" t="s">
        <v>25</v>
      </c>
      <c r="B38" s="33"/>
      <c r="C38" s="33"/>
      <c r="D38" s="33"/>
      <c r="E38" s="33"/>
      <c r="F38" s="33"/>
      <c r="G38" s="33"/>
      <c r="H38" s="33"/>
    </row>
    <row r="39" spans="1:8" ht="51" x14ac:dyDescent="0.2">
      <c r="A39" s="18">
        <v>7</v>
      </c>
      <c r="B39" s="23"/>
      <c r="C39" s="19" t="s">
        <v>48</v>
      </c>
      <c r="D39" s="21"/>
      <c r="E39" s="21"/>
      <c r="F39" s="21"/>
      <c r="G39" s="20">
        <f>268402.25/1000/1.2/5.22</f>
        <v>42.848379629629633</v>
      </c>
      <c r="H39" s="20">
        <f>G39+F39+E39+D39</f>
        <v>42.848379629629633</v>
      </c>
    </row>
    <row r="40" spans="1:8" ht="38.25" x14ac:dyDescent="0.2">
      <c r="A40" s="18">
        <v>8</v>
      </c>
      <c r="B40" s="23"/>
      <c r="C40" s="19" t="s">
        <v>51</v>
      </c>
      <c r="D40" s="21"/>
      <c r="E40" s="21"/>
      <c r="F40" s="21"/>
      <c r="G40" s="20">
        <f>494304.98/1000/1.2/5.22</f>
        <v>78.912033844189025</v>
      </c>
      <c r="H40" s="20">
        <f t="shared" ref="H40:H47" si="5">G40+F40+E40+D40</f>
        <v>78.912033844189025</v>
      </c>
    </row>
    <row r="41" spans="1:8" ht="38.25" x14ac:dyDescent="0.2">
      <c r="A41" s="18">
        <v>9</v>
      </c>
      <c r="B41" s="23"/>
      <c r="C41" s="19" t="s">
        <v>55</v>
      </c>
      <c r="D41" s="21"/>
      <c r="E41" s="21"/>
      <c r="F41" s="21"/>
      <c r="G41" s="20">
        <f>981598.37/1000/1.2/5.22</f>
        <v>156.70472062579822</v>
      </c>
      <c r="H41" s="20">
        <f t="shared" si="5"/>
        <v>156.70472062579822</v>
      </c>
    </row>
    <row r="42" spans="1:8" ht="51" x14ac:dyDescent="0.2">
      <c r="A42" s="18">
        <v>10</v>
      </c>
      <c r="B42" s="23"/>
      <c r="C42" s="19" t="s">
        <v>47</v>
      </c>
      <c r="D42" s="21"/>
      <c r="E42" s="21"/>
      <c r="F42" s="21"/>
      <c r="G42" s="20">
        <f>107550/1000/1.2/12.27</f>
        <v>7.30440097799511</v>
      </c>
      <c r="H42" s="20">
        <f t="shared" si="5"/>
        <v>7.30440097799511</v>
      </c>
    </row>
    <row r="43" spans="1:8" ht="38.25" x14ac:dyDescent="0.2">
      <c r="A43" s="18">
        <v>11</v>
      </c>
      <c r="B43" s="23"/>
      <c r="C43" s="19" t="s">
        <v>52</v>
      </c>
      <c r="D43" s="21"/>
      <c r="E43" s="21"/>
      <c r="F43" s="21"/>
      <c r="G43" s="20">
        <f>34800/1000/1.2/12.27</f>
        <v>2.3634881825590872</v>
      </c>
      <c r="H43" s="20">
        <f t="shared" si="5"/>
        <v>2.3634881825590872</v>
      </c>
    </row>
    <row r="44" spans="1:8" ht="38.25" x14ac:dyDescent="0.2">
      <c r="A44" s="18">
        <v>12</v>
      </c>
      <c r="B44" s="23"/>
      <c r="C44" s="19" t="s">
        <v>56</v>
      </c>
      <c r="D44" s="21"/>
      <c r="E44" s="21"/>
      <c r="F44" s="21"/>
      <c r="G44" s="20">
        <f>107550/1000/1.2/12.27</f>
        <v>7.30440097799511</v>
      </c>
      <c r="H44" s="20">
        <f t="shared" si="5"/>
        <v>7.30440097799511</v>
      </c>
    </row>
    <row r="45" spans="1:8" ht="51" x14ac:dyDescent="0.2">
      <c r="A45" s="18">
        <v>13</v>
      </c>
      <c r="B45" s="23"/>
      <c r="C45" s="19" t="s">
        <v>49</v>
      </c>
      <c r="D45" s="21"/>
      <c r="E45" s="21"/>
      <c r="F45" s="21"/>
      <c r="G45" s="20">
        <f>30000/1000/1.2/12.27</f>
        <v>2.0374898125509375</v>
      </c>
      <c r="H45" s="20">
        <f t="shared" si="5"/>
        <v>2.0374898125509375</v>
      </c>
    </row>
    <row r="46" spans="1:8" ht="39.75" customHeight="1" x14ac:dyDescent="0.2">
      <c r="A46" s="18">
        <v>14</v>
      </c>
      <c r="B46" s="23"/>
      <c r="C46" s="19" t="s">
        <v>53</v>
      </c>
      <c r="D46" s="21"/>
      <c r="E46" s="21"/>
      <c r="F46" s="21"/>
      <c r="G46" s="20">
        <f>30000/1000/1.2/12.27</f>
        <v>2.0374898125509375</v>
      </c>
      <c r="H46" s="20">
        <f t="shared" si="5"/>
        <v>2.0374898125509375</v>
      </c>
    </row>
    <row r="47" spans="1:8" ht="38.25" x14ac:dyDescent="0.2">
      <c r="A47" s="18">
        <v>15</v>
      </c>
      <c r="B47" s="19" t="s">
        <v>40</v>
      </c>
      <c r="C47" s="19" t="s">
        <v>32</v>
      </c>
      <c r="D47" s="21"/>
      <c r="E47" s="21"/>
      <c r="F47" s="21"/>
      <c r="G47" s="20">
        <f>(D32+E32+F32+G39+G42+G43+G44+G45+G46+G32+G40+G41)/100*5.99</f>
        <v>205.3494400827598</v>
      </c>
      <c r="H47" s="20">
        <f t="shared" si="5"/>
        <v>205.3494400827598</v>
      </c>
    </row>
    <row r="48" spans="1:8" ht="12.75" customHeight="1" x14ac:dyDescent="0.2">
      <c r="A48" s="22"/>
      <c r="B48" s="30" t="s">
        <v>26</v>
      </c>
      <c r="C48" s="31"/>
      <c r="D48" s="20">
        <f t="shared" ref="D48:F48" si="6">D39+D42+D43+D44+D45+D46+D47</f>
        <v>0</v>
      </c>
      <c r="E48" s="20">
        <f t="shared" si="6"/>
        <v>0</v>
      </c>
      <c r="F48" s="20">
        <f t="shared" si="6"/>
        <v>0</v>
      </c>
      <c r="G48" s="20">
        <f>G39+G42+G43+G44+G45+G46+G47+G40+G41</f>
        <v>504.86184394602788</v>
      </c>
      <c r="H48" s="20">
        <f>G48+F48+E48+D48</f>
        <v>504.86184394602788</v>
      </c>
    </row>
    <row r="49" spans="1:10" ht="12.75" customHeight="1" x14ac:dyDescent="0.2">
      <c r="A49" s="22"/>
      <c r="B49" s="30" t="s">
        <v>27</v>
      </c>
      <c r="C49" s="31"/>
      <c r="D49" s="20">
        <f>D37+D48</f>
        <v>1439.2058648867314</v>
      </c>
      <c r="E49" s="20">
        <f>E37+E48</f>
        <v>836.49738176144251</v>
      </c>
      <c r="F49" s="20">
        <f t="shared" ref="F49:G49" si="7">F37+F48</f>
        <v>852.9886914378028</v>
      </c>
      <c r="G49" s="20">
        <f t="shared" si="7"/>
        <v>861.15629788158412</v>
      </c>
      <c r="H49" s="20">
        <f>D49+E49+F49+G49</f>
        <v>3989.8482359675613</v>
      </c>
    </row>
    <row r="50" spans="1:10" x14ac:dyDescent="0.2">
      <c r="A50" s="32" t="s">
        <v>28</v>
      </c>
      <c r="B50" s="33"/>
      <c r="C50" s="33"/>
      <c r="D50" s="33"/>
      <c r="E50" s="33"/>
      <c r="F50" s="33"/>
      <c r="G50" s="33"/>
      <c r="H50" s="33"/>
    </row>
    <row r="51" spans="1:10" x14ac:dyDescent="0.2">
      <c r="A51" s="18">
        <v>16</v>
      </c>
      <c r="B51" s="23"/>
      <c r="C51" s="19" t="s">
        <v>29</v>
      </c>
      <c r="D51" s="20">
        <f>D49/100*20</f>
        <v>287.84117297734628</v>
      </c>
      <c r="E51" s="20">
        <f t="shared" ref="E51:F51" si="8">E49/100*20</f>
        <v>167.29947635228851</v>
      </c>
      <c r="F51" s="20">
        <f t="shared" si="8"/>
        <v>170.59773828756056</v>
      </c>
      <c r="G51" s="20">
        <f>(G32+G39+G42+G43+G44+G45+G46+G40+G41+G36+G47)/100*20</f>
        <v>172.2312595763168</v>
      </c>
      <c r="H51" s="20">
        <f>(H32+H39+H42+H43+H44+H45+H46+H40+H41+H36+H47)/100*20</f>
        <v>797.96964719351217</v>
      </c>
    </row>
    <row r="52" spans="1:10" x14ac:dyDescent="0.2">
      <c r="A52" s="22"/>
      <c r="B52" s="30" t="s">
        <v>30</v>
      </c>
      <c r="C52" s="31"/>
      <c r="D52" s="20">
        <f>D51</f>
        <v>287.84117297734628</v>
      </c>
      <c r="E52" s="20">
        <f>E51</f>
        <v>167.29947635228851</v>
      </c>
      <c r="F52" s="21">
        <f>F51</f>
        <v>170.59773828756056</v>
      </c>
      <c r="G52" s="20">
        <f>G51</f>
        <v>172.2312595763168</v>
      </c>
      <c r="H52" s="20">
        <f>D52+E52+F52+G52</f>
        <v>797.96964719351217</v>
      </c>
    </row>
    <row r="53" spans="1:10" x14ac:dyDescent="0.2">
      <c r="A53" s="22"/>
      <c r="B53" s="30" t="s">
        <v>31</v>
      </c>
      <c r="C53" s="31"/>
      <c r="D53" s="20">
        <f>D49+D51</f>
        <v>1727.0470378640778</v>
      </c>
      <c r="E53" s="20">
        <f>E49+E51</f>
        <v>1003.796858113731</v>
      </c>
      <c r="F53" s="20">
        <f t="shared" ref="F53" si="9">F49+F51</f>
        <v>1023.5864297253634</v>
      </c>
      <c r="G53" s="20">
        <f>G49+G51</f>
        <v>1033.387557457901</v>
      </c>
      <c r="H53" s="20">
        <f>H49+H51</f>
        <v>4787.817883161073</v>
      </c>
      <c r="J53" s="28"/>
    </row>
    <row r="54" spans="1:10" x14ac:dyDescent="0.2">
      <c r="H54" s="29"/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A50:H50"/>
    <mergeCell ref="B52:C52"/>
    <mergeCell ref="B53:C53"/>
    <mergeCell ref="B28:C28"/>
    <mergeCell ref="A29:H29"/>
    <mergeCell ref="B32:C32"/>
    <mergeCell ref="A33:H33"/>
    <mergeCell ref="B36:C36"/>
    <mergeCell ref="B37:C37"/>
    <mergeCell ref="A38:H38"/>
    <mergeCell ref="B31:C31"/>
    <mergeCell ref="B48:C48"/>
    <mergeCell ref="B49:C49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  <ignoredErrors>
    <ignoredError sqref="G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тек.ц.</vt:lpstr>
      <vt:lpstr>база</vt:lpstr>
      <vt:lpstr>база!Область_печати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2023-05-24T08:17:39Z</cp:lastPrinted>
  <dcterms:created xsi:type="dcterms:W3CDTF">2022-07-06T13:17:17Z</dcterms:created>
  <dcterms:modified xsi:type="dcterms:W3CDTF">2024-03-15T06:37:06Z</dcterms:modified>
</cp:coreProperties>
</file>