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C:\Users\alferova-is\Documents\Д_ИП\ИПР_ОКТЯБРЬ_2022\Добавить_к_обосновывающим\Разложено_по_титулам\ДКС\2_УРС_приложить\"/>
    </mc:Choice>
  </mc:AlternateContent>
  <xr:revisionPtr revIDLastSave="0" documentId="13_ncr:1_{A4863D82-7B9F-4B48-85D0-0E528C671FB7}" xr6:coauthVersionLast="36" xr6:coauthVersionMax="36" xr10:uidLastSave="{00000000-0000-0000-0000-000000000000}"/>
  <bookViews>
    <workbookView xWindow="0" yWindow="0" windowWidth="28770" windowHeight="10860" tabRatio="258" xr2:uid="{00000000-000D-0000-FFFF-FFFF00000000}"/>
  </bookViews>
  <sheets>
    <sheet name="Расчет стоимости ИП" sheetId="4" r:id="rId1"/>
    <sheet name="Наименование работ" sheetId="5" state="hidden" r:id="rId2"/>
  </sheets>
  <externalReferences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1" hidden="1">'Наименование работ'!$A$2:$S$283</definedName>
    <definedName name="_xlnm._FilterDatabase" localSheetId="0" hidden="1">'Расчет стоимости ИП'!$A$16:$V$31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1">'Наименование работ'!$A$1:$T$281</definedName>
    <definedName name="_xlnm.Print_Area" localSheetId="0">'Расчет стоимости ИП'!$A$1:$P$53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8" i="4" l="1"/>
  <c r="O24" i="4"/>
  <c r="O22" i="4"/>
  <c r="O16" i="4"/>
  <c r="K37" i="4"/>
  <c r="K36" i="4"/>
  <c r="F44" i="4"/>
  <c r="F43" i="4"/>
  <c r="F41" i="4"/>
  <c r="F42" i="4"/>
  <c r="F40" i="4"/>
  <c r="M17" i="4" l="1"/>
  <c r="M25" i="4"/>
  <c r="M20" i="4"/>
  <c r="I25" i="4" l="1"/>
  <c r="H25" i="4"/>
  <c r="N25" i="4" s="1"/>
  <c r="G25" i="4"/>
  <c r="F25" i="4"/>
  <c r="E25" i="4"/>
  <c r="D25" i="4"/>
  <c r="C25" i="4"/>
  <c r="I23" i="4"/>
  <c r="G23" i="4"/>
  <c r="F23" i="4"/>
  <c r="E23" i="4"/>
  <c r="D23" i="4"/>
  <c r="M21" i="4"/>
  <c r="I21" i="4"/>
  <c r="G21" i="4"/>
  <c r="F21" i="4"/>
  <c r="E21" i="4"/>
  <c r="D21" i="4"/>
  <c r="C21" i="4"/>
  <c r="I20" i="4"/>
  <c r="G20" i="4"/>
  <c r="F20" i="4"/>
  <c r="E20" i="4"/>
  <c r="D20" i="4"/>
  <c r="C20" i="4"/>
  <c r="I18" i="4"/>
  <c r="G18" i="4"/>
  <c r="F18" i="4"/>
  <c r="E18" i="4"/>
  <c r="D18" i="4"/>
  <c r="I17" i="4"/>
  <c r="G17" i="4"/>
  <c r="F17" i="4"/>
  <c r="E17" i="4"/>
  <c r="D17" i="4"/>
  <c r="C17" i="4"/>
  <c r="M24" i="4"/>
  <c r="I24" i="4"/>
  <c r="G24" i="4"/>
  <c r="F24" i="4"/>
  <c r="E24" i="4"/>
  <c r="D24" i="4"/>
  <c r="M22" i="4"/>
  <c r="I22" i="4"/>
  <c r="G22" i="4"/>
  <c r="F22" i="4"/>
  <c r="E22" i="4"/>
  <c r="D22" i="4"/>
  <c r="L25" i="4" l="1"/>
  <c r="P25" i="4" s="1"/>
  <c r="U51" i="4"/>
  <c r="T51" i="4"/>
  <c r="S51" i="4"/>
  <c r="R51" i="4"/>
  <c r="Q51" i="4"/>
  <c r="D19" i="4" l="1"/>
  <c r="E19" i="4"/>
  <c r="F19" i="4"/>
  <c r="G19" i="4"/>
  <c r="I19" i="4"/>
  <c r="F38" i="4" s="1"/>
  <c r="M19" i="4"/>
  <c r="D16" i="4" l="1"/>
  <c r="E16" i="4"/>
  <c r="F16" i="4"/>
  <c r="G16" i="4"/>
  <c r="M16" i="4"/>
  <c r="J43" i="5" l="1"/>
  <c r="J44" i="5"/>
  <c r="J42" i="5"/>
  <c r="I36" i="4"/>
  <c r="T30" i="5" l="1"/>
  <c r="J30" i="5" s="1"/>
  <c r="H24" i="4" s="1"/>
  <c r="N24" i="4" s="1"/>
  <c r="L24" i="4" s="1"/>
  <c r="P24" i="4" s="1"/>
  <c r="T31" i="5"/>
  <c r="J31" i="5" s="1"/>
  <c r="T32" i="5"/>
  <c r="J32" i="5" s="1"/>
  <c r="T33" i="5"/>
  <c r="J33" i="5" s="1"/>
  <c r="T34" i="5"/>
  <c r="J34" i="5" s="1"/>
  <c r="T35" i="5"/>
  <c r="J35" i="5" s="1"/>
  <c r="T36" i="5"/>
  <c r="J36" i="5" s="1"/>
  <c r="T37" i="5"/>
  <c r="J37" i="5" s="1"/>
  <c r="T38" i="5"/>
  <c r="J38" i="5" s="1"/>
  <c r="T39" i="5"/>
  <c r="J39" i="5" s="1"/>
  <c r="T40" i="5"/>
  <c r="J40" i="5" s="1"/>
  <c r="T41" i="5"/>
  <c r="T42" i="5"/>
  <c r="T43" i="5"/>
  <c r="T44" i="5"/>
  <c r="T45" i="5"/>
  <c r="J45" i="5" s="1"/>
  <c r="T46" i="5"/>
  <c r="J46" i="5" s="1"/>
  <c r="T47" i="5"/>
  <c r="J47" i="5" s="1"/>
  <c r="T48" i="5"/>
  <c r="J48" i="5" s="1"/>
  <c r="T49" i="5"/>
  <c r="J49" i="5" s="1"/>
  <c r="T50" i="5"/>
  <c r="J50" i="5" s="1"/>
  <c r="T51" i="5"/>
  <c r="J51" i="5" s="1"/>
  <c r="T52" i="5"/>
  <c r="J52" i="5" s="1"/>
  <c r="T53" i="5"/>
  <c r="J53" i="5" s="1"/>
  <c r="T54" i="5"/>
  <c r="J54" i="5" s="1"/>
  <c r="T55" i="5"/>
  <c r="J55" i="5" s="1"/>
  <c r="T56" i="5"/>
  <c r="J56" i="5" s="1"/>
  <c r="T57" i="5"/>
  <c r="J57" i="5" s="1"/>
  <c r="T58" i="5"/>
  <c r="J58" i="5" s="1"/>
  <c r="T59" i="5"/>
  <c r="J59" i="5" s="1"/>
  <c r="T60" i="5"/>
  <c r="J60" i="5" s="1"/>
  <c r="T61" i="5"/>
  <c r="J61" i="5" s="1"/>
  <c r="T62" i="5"/>
  <c r="J62" i="5" s="1"/>
  <c r="T63" i="5"/>
  <c r="J63" i="5" s="1"/>
  <c r="T64" i="5"/>
  <c r="J64" i="5" s="1"/>
  <c r="T65" i="5"/>
  <c r="J65" i="5" s="1"/>
  <c r="T66" i="5"/>
  <c r="J66" i="5" s="1"/>
  <c r="T67" i="5"/>
  <c r="J67" i="5" s="1"/>
  <c r="T68" i="5"/>
  <c r="T69" i="5"/>
  <c r="J69" i="5" s="1"/>
  <c r="T70" i="5"/>
  <c r="J70" i="5" s="1"/>
  <c r="T71" i="5"/>
  <c r="J71" i="5" s="1"/>
  <c r="T72" i="5"/>
  <c r="J72" i="5" s="1"/>
  <c r="T73" i="5"/>
  <c r="J73" i="5" s="1"/>
  <c r="T74" i="5"/>
  <c r="J74" i="5" s="1"/>
  <c r="T75" i="5"/>
  <c r="J75" i="5" s="1"/>
  <c r="T76" i="5"/>
  <c r="J76" i="5" s="1"/>
  <c r="T77" i="5"/>
  <c r="J77" i="5" s="1"/>
  <c r="T78" i="5"/>
  <c r="J78" i="5" s="1"/>
  <c r="T79" i="5"/>
  <c r="J79" i="5" s="1"/>
  <c r="T80" i="5"/>
  <c r="J80" i="5" s="1"/>
  <c r="T81" i="5"/>
  <c r="J81" i="5" s="1"/>
  <c r="T82" i="5"/>
  <c r="J82" i="5" s="1"/>
  <c r="T83" i="5"/>
  <c r="J83" i="5" s="1"/>
  <c r="T84" i="5"/>
  <c r="J84" i="5" s="1"/>
  <c r="T85" i="5"/>
  <c r="J85" i="5" s="1"/>
  <c r="T86" i="5"/>
  <c r="J86" i="5" s="1"/>
  <c r="T87" i="5"/>
  <c r="J87" i="5" s="1"/>
  <c r="T88" i="5"/>
  <c r="J88" i="5" s="1"/>
  <c r="T89" i="5"/>
  <c r="J89" i="5" s="1"/>
  <c r="T90" i="5"/>
  <c r="J90" i="5" s="1"/>
  <c r="T91" i="5"/>
  <c r="J91" i="5" s="1"/>
  <c r="T92" i="5"/>
  <c r="J92" i="5" s="1"/>
  <c r="T93" i="5"/>
  <c r="J93" i="5" s="1"/>
  <c r="T94" i="5"/>
  <c r="J94" i="5" s="1"/>
  <c r="T95" i="5"/>
  <c r="J95" i="5" s="1"/>
  <c r="T96" i="5"/>
  <c r="J96" i="5" s="1"/>
  <c r="T97" i="5"/>
  <c r="J97" i="5" s="1"/>
  <c r="T98" i="5"/>
  <c r="J98" i="5" s="1"/>
  <c r="T99" i="5"/>
  <c r="J99" i="5" s="1"/>
  <c r="T100" i="5"/>
  <c r="J100" i="5" s="1"/>
  <c r="T101" i="5"/>
  <c r="J101" i="5" s="1"/>
  <c r="T102" i="5"/>
  <c r="J102" i="5" s="1"/>
  <c r="T103" i="5"/>
  <c r="J103" i="5" s="1"/>
  <c r="T104" i="5"/>
  <c r="J104" i="5" s="1"/>
  <c r="T105" i="5"/>
  <c r="J105" i="5" s="1"/>
  <c r="T106" i="5"/>
  <c r="J106" i="5" s="1"/>
  <c r="T107" i="5"/>
  <c r="J107" i="5" s="1"/>
  <c r="T108" i="5"/>
  <c r="J108" i="5" s="1"/>
  <c r="T109" i="5"/>
  <c r="J109" i="5" s="1"/>
  <c r="T110" i="5"/>
  <c r="J110" i="5" s="1"/>
  <c r="T111" i="5"/>
  <c r="J111" i="5" s="1"/>
  <c r="T112" i="5"/>
  <c r="J112" i="5" s="1"/>
  <c r="T113" i="5"/>
  <c r="J113" i="5" s="1"/>
  <c r="T114" i="5"/>
  <c r="J114" i="5" s="1"/>
  <c r="T115" i="5"/>
  <c r="J115" i="5" s="1"/>
  <c r="T116" i="5"/>
  <c r="J116" i="5" s="1"/>
  <c r="T117" i="5"/>
  <c r="J117" i="5" s="1"/>
  <c r="T118" i="5"/>
  <c r="J118" i="5" s="1"/>
  <c r="T119" i="5"/>
  <c r="J119" i="5" s="1"/>
  <c r="T120" i="5"/>
  <c r="J120" i="5" s="1"/>
  <c r="T121" i="5"/>
  <c r="J121" i="5" s="1"/>
  <c r="T122" i="5"/>
  <c r="J122" i="5" s="1"/>
  <c r="T123" i="5"/>
  <c r="J123" i="5" s="1"/>
  <c r="T124" i="5"/>
  <c r="J124" i="5" s="1"/>
  <c r="T125" i="5"/>
  <c r="J125" i="5" s="1"/>
  <c r="T126" i="5"/>
  <c r="J126" i="5" s="1"/>
  <c r="T127" i="5"/>
  <c r="J127" i="5" s="1"/>
  <c r="T128" i="5"/>
  <c r="J128" i="5" s="1"/>
  <c r="T129" i="5"/>
  <c r="J129" i="5" s="1"/>
  <c r="T130" i="5"/>
  <c r="J130" i="5" s="1"/>
  <c r="T131" i="5"/>
  <c r="J131" i="5" s="1"/>
  <c r="T132" i="5"/>
  <c r="J132" i="5" s="1"/>
  <c r="T133" i="5"/>
  <c r="J133" i="5" s="1"/>
  <c r="T134" i="5"/>
  <c r="J134" i="5" s="1"/>
  <c r="T135" i="5"/>
  <c r="J135" i="5" s="1"/>
  <c r="T136" i="5"/>
  <c r="J136" i="5" s="1"/>
  <c r="T137" i="5"/>
  <c r="J137" i="5" s="1"/>
  <c r="T138" i="5"/>
  <c r="J138" i="5" s="1"/>
  <c r="T139" i="5"/>
  <c r="J139" i="5" s="1"/>
  <c r="T140" i="5"/>
  <c r="J140" i="5" s="1"/>
  <c r="T141" i="5"/>
  <c r="J141" i="5" s="1"/>
  <c r="T142" i="5"/>
  <c r="J142" i="5" s="1"/>
  <c r="T143" i="5"/>
  <c r="J143" i="5" s="1"/>
  <c r="T144" i="5"/>
  <c r="J144" i="5" s="1"/>
  <c r="T145" i="5"/>
  <c r="J145" i="5" s="1"/>
  <c r="T146" i="5"/>
  <c r="J146" i="5" s="1"/>
  <c r="T147" i="5"/>
  <c r="J147" i="5" s="1"/>
  <c r="T148" i="5"/>
  <c r="J148" i="5" s="1"/>
  <c r="T149" i="5"/>
  <c r="J149" i="5" s="1"/>
  <c r="T150" i="5"/>
  <c r="J150" i="5" s="1"/>
  <c r="T151" i="5"/>
  <c r="J151" i="5" s="1"/>
  <c r="T152" i="5"/>
  <c r="J152" i="5" s="1"/>
  <c r="T153" i="5"/>
  <c r="J153" i="5" s="1"/>
  <c r="T154" i="5"/>
  <c r="J154" i="5" s="1"/>
  <c r="T155" i="5"/>
  <c r="J155" i="5" s="1"/>
  <c r="T156" i="5"/>
  <c r="J156" i="5" s="1"/>
  <c r="T157" i="5"/>
  <c r="J157" i="5" s="1"/>
  <c r="T158" i="5"/>
  <c r="J158" i="5" s="1"/>
  <c r="T159" i="5"/>
  <c r="J159" i="5" s="1"/>
  <c r="T160" i="5"/>
  <c r="J160" i="5" s="1"/>
  <c r="T161" i="5"/>
  <c r="J161" i="5" s="1"/>
  <c r="T162" i="5"/>
  <c r="J162" i="5" s="1"/>
  <c r="T163" i="5"/>
  <c r="J163" i="5" s="1"/>
  <c r="T164" i="5"/>
  <c r="J164" i="5" s="1"/>
  <c r="T165" i="5"/>
  <c r="J165" i="5" s="1"/>
  <c r="T166" i="5"/>
  <c r="J166" i="5" s="1"/>
  <c r="T167" i="5"/>
  <c r="J167" i="5" s="1"/>
  <c r="T168" i="5"/>
  <c r="J168" i="5" s="1"/>
  <c r="T169" i="5"/>
  <c r="J169" i="5" s="1"/>
  <c r="T170" i="5"/>
  <c r="J170" i="5" s="1"/>
  <c r="T171" i="5"/>
  <c r="J171" i="5" s="1"/>
  <c r="T172" i="5"/>
  <c r="J172" i="5" s="1"/>
  <c r="T173" i="5"/>
  <c r="J173" i="5" s="1"/>
  <c r="T174" i="5"/>
  <c r="J174" i="5" s="1"/>
  <c r="T175" i="5"/>
  <c r="J175" i="5" s="1"/>
  <c r="T176" i="5"/>
  <c r="J176" i="5" s="1"/>
  <c r="T177" i="5"/>
  <c r="J177" i="5" s="1"/>
  <c r="T178" i="5"/>
  <c r="J178" i="5" s="1"/>
  <c r="T179" i="5"/>
  <c r="J179" i="5" s="1"/>
  <c r="T180" i="5"/>
  <c r="J180" i="5" s="1"/>
  <c r="T181" i="5"/>
  <c r="J181" i="5" s="1"/>
  <c r="T182" i="5"/>
  <c r="J182" i="5" s="1"/>
  <c r="T183" i="5"/>
  <c r="J183" i="5" s="1"/>
  <c r="T184" i="5"/>
  <c r="J184" i="5" s="1"/>
  <c r="T185" i="5"/>
  <c r="J185" i="5" s="1"/>
  <c r="T186" i="5"/>
  <c r="J186" i="5" s="1"/>
  <c r="T187" i="5"/>
  <c r="J187" i="5" s="1"/>
  <c r="T188" i="5"/>
  <c r="J188" i="5" s="1"/>
  <c r="T189" i="5"/>
  <c r="J189" i="5" s="1"/>
  <c r="T190" i="5"/>
  <c r="J190" i="5" s="1"/>
  <c r="T191" i="5"/>
  <c r="J191" i="5" s="1"/>
  <c r="T192" i="5"/>
  <c r="J192" i="5" s="1"/>
  <c r="T193" i="5"/>
  <c r="J193" i="5" s="1"/>
  <c r="T194" i="5"/>
  <c r="J194" i="5" s="1"/>
  <c r="T195" i="5"/>
  <c r="J195" i="5" s="1"/>
  <c r="T196" i="5"/>
  <c r="J196" i="5" s="1"/>
  <c r="T197" i="5"/>
  <c r="J197" i="5" s="1"/>
  <c r="T198" i="5"/>
  <c r="J198" i="5" s="1"/>
  <c r="T199" i="5"/>
  <c r="J199" i="5" s="1"/>
  <c r="T200" i="5"/>
  <c r="J200" i="5" s="1"/>
  <c r="T201" i="5"/>
  <c r="J201" i="5" s="1"/>
  <c r="T202" i="5"/>
  <c r="J202" i="5" s="1"/>
  <c r="T203" i="5"/>
  <c r="J203" i="5" s="1"/>
  <c r="T204" i="5"/>
  <c r="J204" i="5" s="1"/>
  <c r="T205" i="5"/>
  <c r="J205" i="5" s="1"/>
  <c r="T206" i="5"/>
  <c r="J206" i="5" s="1"/>
  <c r="T207" i="5"/>
  <c r="J207" i="5" s="1"/>
  <c r="T208" i="5"/>
  <c r="J208" i="5" s="1"/>
  <c r="T209" i="5"/>
  <c r="J209" i="5" s="1"/>
  <c r="T210" i="5"/>
  <c r="J210" i="5" s="1"/>
  <c r="T211" i="5"/>
  <c r="J211" i="5" s="1"/>
  <c r="T212" i="5"/>
  <c r="J212" i="5" s="1"/>
  <c r="T213" i="5"/>
  <c r="J213" i="5" s="1"/>
  <c r="T214" i="5"/>
  <c r="J214" i="5" s="1"/>
  <c r="T215" i="5"/>
  <c r="J215" i="5" s="1"/>
  <c r="T216" i="5"/>
  <c r="J216" i="5" s="1"/>
  <c r="T217" i="5"/>
  <c r="J217" i="5" s="1"/>
  <c r="T218" i="5"/>
  <c r="J218" i="5" s="1"/>
  <c r="T219" i="5"/>
  <c r="J219" i="5" s="1"/>
  <c r="T220" i="5"/>
  <c r="J220" i="5" s="1"/>
  <c r="T221" i="5"/>
  <c r="J221" i="5" s="1"/>
  <c r="T222" i="5"/>
  <c r="J222" i="5" s="1"/>
  <c r="T223" i="5"/>
  <c r="J223" i="5" s="1"/>
  <c r="T224" i="5"/>
  <c r="J224" i="5" s="1"/>
  <c r="T225" i="5"/>
  <c r="J225" i="5" s="1"/>
  <c r="T226" i="5"/>
  <c r="J226" i="5" s="1"/>
  <c r="T227" i="5"/>
  <c r="J227" i="5" s="1"/>
  <c r="T228" i="5"/>
  <c r="J228" i="5" s="1"/>
  <c r="T229" i="5"/>
  <c r="J229" i="5" s="1"/>
  <c r="T230" i="5"/>
  <c r="J230" i="5" s="1"/>
  <c r="T231" i="5"/>
  <c r="J231" i="5" s="1"/>
  <c r="T232" i="5"/>
  <c r="J232" i="5" s="1"/>
  <c r="T233" i="5"/>
  <c r="J233" i="5" s="1"/>
  <c r="T234" i="5"/>
  <c r="J234" i="5" s="1"/>
  <c r="T235" i="5"/>
  <c r="J235" i="5" s="1"/>
  <c r="T236" i="5"/>
  <c r="J236" i="5" s="1"/>
  <c r="T237" i="5"/>
  <c r="J237" i="5" s="1"/>
  <c r="T238" i="5"/>
  <c r="J238" i="5" s="1"/>
  <c r="T239" i="5"/>
  <c r="J239" i="5" s="1"/>
  <c r="T240" i="5"/>
  <c r="J240" i="5" s="1"/>
  <c r="T241" i="5"/>
  <c r="J241" i="5" s="1"/>
  <c r="T242" i="5"/>
  <c r="J242" i="5" s="1"/>
  <c r="T243" i="5"/>
  <c r="J243" i="5" s="1"/>
  <c r="T244" i="5"/>
  <c r="J244" i="5" s="1"/>
  <c r="T245" i="5"/>
  <c r="J245" i="5" s="1"/>
  <c r="T246" i="5"/>
  <c r="J246" i="5" s="1"/>
  <c r="T247" i="5"/>
  <c r="J247" i="5" s="1"/>
  <c r="T248" i="5"/>
  <c r="J248" i="5" s="1"/>
  <c r="T249" i="5"/>
  <c r="J249" i="5" s="1"/>
  <c r="T250" i="5"/>
  <c r="J250" i="5" s="1"/>
  <c r="T251" i="5"/>
  <c r="J251" i="5" s="1"/>
  <c r="T252" i="5"/>
  <c r="J252" i="5" s="1"/>
  <c r="T253" i="5"/>
  <c r="J253" i="5" s="1"/>
  <c r="T254" i="5"/>
  <c r="J254" i="5" s="1"/>
  <c r="T255" i="5"/>
  <c r="J255" i="5" s="1"/>
  <c r="T256" i="5"/>
  <c r="J256" i="5" s="1"/>
  <c r="T257" i="5"/>
  <c r="J257" i="5" s="1"/>
  <c r="T258" i="5"/>
  <c r="J258" i="5" s="1"/>
  <c r="T259" i="5"/>
  <c r="J259" i="5" s="1"/>
  <c r="T260" i="5"/>
  <c r="J260" i="5" s="1"/>
  <c r="T261" i="5"/>
  <c r="J261" i="5" s="1"/>
  <c r="T262" i="5"/>
  <c r="J262" i="5" s="1"/>
  <c r="T263" i="5"/>
  <c r="J263" i="5" s="1"/>
  <c r="T264" i="5"/>
  <c r="J264" i="5" s="1"/>
  <c r="T265" i="5"/>
  <c r="J265" i="5" s="1"/>
  <c r="T266" i="5"/>
  <c r="J266" i="5" s="1"/>
  <c r="T267" i="5"/>
  <c r="J267" i="5" s="1"/>
  <c r="T268" i="5"/>
  <c r="J268" i="5" s="1"/>
  <c r="T269" i="5"/>
  <c r="J269" i="5" s="1"/>
  <c r="T270" i="5"/>
  <c r="J270" i="5" s="1"/>
  <c r="T271" i="5"/>
  <c r="J271" i="5" s="1"/>
  <c r="T272" i="5"/>
  <c r="J272" i="5" s="1"/>
  <c r="T273" i="5"/>
  <c r="J273" i="5" s="1"/>
  <c r="T274" i="5"/>
  <c r="J274" i="5" s="1"/>
  <c r="T275" i="5"/>
  <c r="J275" i="5" s="1"/>
  <c r="T276" i="5"/>
  <c r="J276" i="5" s="1"/>
  <c r="T277" i="5"/>
  <c r="J277" i="5" s="1"/>
  <c r="T278" i="5"/>
  <c r="J278" i="5" s="1"/>
  <c r="T279" i="5"/>
  <c r="J279" i="5" s="1"/>
  <c r="T280" i="5"/>
  <c r="J280" i="5" s="1"/>
  <c r="T281" i="5"/>
  <c r="J281" i="5" s="1"/>
  <c r="T282" i="5"/>
  <c r="J282" i="5" s="1"/>
  <c r="T283" i="5"/>
  <c r="J283" i="5" s="1"/>
  <c r="T3" i="5"/>
  <c r="J3" i="5" s="1"/>
  <c r="T4" i="5"/>
  <c r="J4" i="5" s="1"/>
  <c r="T5" i="5"/>
  <c r="J5" i="5" s="1"/>
  <c r="T6" i="5"/>
  <c r="J6" i="5" s="1"/>
  <c r="T7" i="5"/>
  <c r="T8" i="5"/>
  <c r="J8" i="5" s="1"/>
  <c r="T9" i="5"/>
  <c r="J9" i="5" s="1"/>
  <c r="T10" i="5"/>
  <c r="J10" i="5" s="1"/>
  <c r="T11" i="5"/>
  <c r="J11" i="5" s="1"/>
  <c r="T12" i="5"/>
  <c r="J12" i="5" s="1"/>
  <c r="T13" i="5"/>
  <c r="J13" i="5" s="1"/>
  <c r="T14" i="5"/>
  <c r="J14" i="5" s="1"/>
  <c r="T15" i="5"/>
  <c r="J15" i="5" s="1"/>
  <c r="T16" i="5"/>
  <c r="J16" i="5" s="1"/>
  <c r="T17" i="5"/>
  <c r="J17" i="5" s="1"/>
  <c r="T18" i="5"/>
  <c r="J18" i="5" s="1"/>
  <c r="T19" i="5"/>
  <c r="J19" i="5" s="1"/>
  <c r="T20" i="5"/>
  <c r="J20" i="5" s="1"/>
  <c r="T21" i="5"/>
  <c r="J21" i="5" s="1"/>
  <c r="T22" i="5"/>
  <c r="J22" i="5" s="1"/>
  <c r="T23" i="5"/>
  <c r="J23" i="5" s="1"/>
  <c r="T24" i="5"/>
  <c r="J24" i="5" s="1"/>
  <c r="T25" i="5"/>
  <c r="J25" i="5" s="1"/>
  <c r="T26" i="5"/>
  <c r="J26" i="5" s="1"/>
  <c r="T27" i="5"/>
  <c r="J27" i="5" s="1"/>
  <c r="T28" i="5"/>
  <c r="J28" i="5" s="1"/>
  <c r="T29" i="5"/>
  <c r="J29" i="5" s="1"/>
  <c r="H22" i="4" s="1"/>
  <c r="N22" i="4" s="1"/>
  <c r="L22" i="4" s="1"/>
  <c r="P22" i="4" s="1"/>
  <c r="H17" i="4" l="1"/>
  <c r="N17" i="4" s="1"/>
  <c r="L17" i="4" s="1"/>
  <c r="P17" i="4" s="1"/>
  <c r="H23" i="4"/>
  <c r="N23" i="4" s="1"/>
  <c r="L23" i="4" s="1"/>
  <c r="P23" i="4" s="1"/>
  <c r="H18" i="4"/>
  <c r="N18" i="4" s="1"/>
  <c r="L18" i="4" s="1"/>
  <c r="P18" i="4" s="1"/>
  <c r="H20" i="4"/>
  <c r="N20" i="4" s="1"/>
  <c r="L20" i="4" s="1"/>
  <c r="P20" i="4" s="1"/>
  <c r="H21" i="4"/>
  <c r="N21" i="4" s="1"/>
  <c r="L21" i="4" s="1"/>
  <c r="P21" i="4" s="1"/>
  <c r="H19" i="4"/>
  <c r="N19" i="4" s="1"/>
  <c r="L19" i="4" s="1"/>
  <c r="P19" i="4" l="1"/>
  <c r="M26" i="4" l="1"/>
  <c r="P27" i="4" s="1"/>
  <c r="O26" i="4" l="1"/>
  <c r="P29" i="4" s="1"/>
  <c r="J7" i="5"/>
  <c r="J41" i="5"/>
  <c r="J68" i="5"/>
  <c r="H16" i="4" l="1"/>
  <c r="N16" i="4" s="1"/>
  <c r="L16" i="4" l="1"/>
  <c r="P16" i="4" s="1"/>
  <c r="P283" i="5"/>
  <c r="N283" i="5"/>
  <c r="H283" i="5"/>
  <c r="C283" i="5"/>
  <c r="L283" i="5" s="1"/>
  <c r="P282" i="5"/>
  <c r="N282" i="5"/>
  <c r="H282" i="5"/>
  <c r="C282" i="5"/>
  <c r="L282" i="5" s="1"/>
  <c r="P281" i="5"/>
  <c r="N281" i="5"/>
  <c r="H281" i="5"/>
  <c r="C281" i="5"/>
  <c r="L281" i="5" s="1"/>
  <c r="P280" i="5"/>
  <c r="N280" i="5"/>
  <c r="H280" i="5"/>
  <c r="C280" i="5"/>
  <c r="L280" i="5" s="1"/>
  <c r="P279" i="5"/>
  <c r="N279" i="5"/>
  <c r="H279" i="5"/>
  <c r="C279" i="5"/>
  <c r="L279" i="5" s="1"/>
  <c r="P278" i="5"/>
  <c r="N278" i="5"/>
  <c r="H278" i="5"/>
  <c r="C278" i="5"/>
  <c r="L278" i="5" s="1"/>
  <c r="P277" i="5"/>
  <c r="N277" i="5"/>
  <c r="H277" i="5"/>
  <c r="C277" i="5"/>
  <c r="L277" i="5" s="1"/>
  <c r="P276" i="5"/>
  <c r="N276" i="5"/>
  <c r="H276" i="5"/>
  <c r="C276" i="5"/>
  <c r="L276" i="5" s="1"/>
  <c r="P275" i="5"/>
  <c r="N275" i="5"/>
  <c r="H275" i="5"/>
  <c r="C275" i="5"/>
  <c r="L275" i="5" s="1"/>
  <c r="P274" i="5"/>
  <c r="N274" i="5"/>
  <c r="H274" i="5"/>
  <c r="C274" i="5"/>
  <c r="L274" i="5" s="1"/>
  <c r="P273" i="5"/>
  <c r="N273" i="5"/>
  <c r="H273" i="5"/>
  <c r="C273" i="5"/>
  <c r="L273" i="5" s="1"/>
  <c r="P272" i="5"/>
  <c r="N272" i="5"/>
  <c r="H272" i="5"/>
  <c r="C272" i="5"/>
  <c r="L272" i="5" s="1"/>
  <c r="P271" i="5"/>
  <c r="N271" i="5"/>
  <c r="H271" i="5"/>
  <c r="C271" i="5"/>
  <c r="L271" i="5" s="1"/>
  <c r="P270" i="5"/>
  <c r="N270" i="5"/>
  <c r="H270" i="5"/>
  <c r="C270" i="5"/>
  <c r="L270" i="5" s="1"/>
  <c r="P269" i="5"/>
  <c r="N269" i="5"/>
  <c r="H269" i="5"/>
  <c r="C269" i="5"/>
  <c r="L269" i="5" s="1"/>
  <c r="P268" i="5"/>
  <c r="N268" i="5"/>
  <c r="H268" i="5"/>
  <c r="C268" i="5"/>
  <c r="L268" i="5" s="1"/>
  <c r="P267" i="5"/>
  <c r="N267" i="5"/>
  <c r="H267" i="5"/>
  <c r="C267" i="5"/>
  <c r="L267" i="5" s="1"/>
  <c r="P266" i="5"/>
  <c r="N266" i="5"/>
  <c r="H266" i="5"/>
  <c r="C266" i="5"/>
  <c r="L266" i="5" s="1"/>
  <c r="P265" i="5"/>
  <c r="N265" i="5"/>
  <c r="H265" i="5"/>
  <c r="C265" i="5"/>
  <c r="L265" i="5" s="1"/>
  <c r="P264" i="5"/>
  <c r="N264" i="5"/>
  <c r="H264" i="5"/>
  <c r="C264" i="5"/>
  <c r="L264" i="5" s="1"/>
  <c r="P263" i="5"/>
  <c r="N263" i="5"/>
  <c r="H263" i="5"/>
  <c r="C263" i="5"/>
  <c r="L263" i="5" s="1"/>
  <c r="P262" i="5"/>
  <c r="N262" i="5"/>
  <c r="H262" i="5"/>
  <c r="C262" i="5"/>
  <c r="L262" i="5" s="1"/>
  <c r="P261" i="5"/>
  <c r="N261" i="5"/>
  <c r="H261" i="5"/>
  <c r="C261" i="5"/>
  <c r="L261" i="5" s="1"/>
  <c r="P260" i="5"/>
  <c r="N260" i="5"/>
  <c r="H260" i="5"/>
  <c r="C260" i="5"/>
  <c r="L260" i="5" s="1"/>
  <c r="P259" i="5"/>
  <c r="N259" i="5"/>
  <c r="H259" i="5"/>
  <c r="C259" i="5"/>
  <c r="L259" i="5" s="1"/>
  <c r="P258" i="5"/>
  <c r="N258" i="5"/>
  <c r="H258" i="5"/>
  <c r="C258" i="5"/>
  <c r="L258" i="5" s="1"/>
  <c r="P257" i="5"/>
  <c r="N257" i="5"/>
  <c r="H257" i="5"/>
  <c r="C257" i="5"/>
  <c r="L257" i="5" s="1"/>
  <c r="P256" i="5"/>
  <c r="N256" i="5"/>
  <c r="H256" i="5"/>
  <c r="C256" i="5"/>
  <c r="L256" i="5" s="1"/>
  <c r="P255" i="5"/>
  <c r="N255" i="5"/>
  <c r="H255" i="5"/>
  <c r="C255" i="5"/>
  <c r="L255" i="5" s="1"/>
  <c r="P254" i="5"/>
  <c r="N254" i="5"/>
  <c r="H254" i="5"/>
  <c r="C254" i="5"/>
  <c r="L254" i="5" s="1"/>
  <c r="P253" i="5"/>
  <c r="N253" i="5"/>
  <c r="H253" i="5"/>
  <c r="C253" i="5"/>
  <c r="L253" i="5" s="1"/>
  <c r="P252" i="5"/>
  <c r="N252" i="5"/>
  <c r="H252" i="5"/>
  <c r="C252" i="5"/>
  <c r="L252" i="5" s="1"/>
  <c r="P251" i="5"/>
  <c r="N251" i="5"/>
  <c r="H251" i="5"/>
  <c r="C251" i="5"/>
  <c r="L251" i="5" s="1"/>
  <c r="P250" i="5"/>
  <c r="N250" i="5"/>
  <c r="H250" i="5"/>
  <c r="C250" i="5"/>
  <c r="L250" i="5" s="1"/>
  <c r="P249" i="5"/>
  <c r="N249" i="5"/>
  <c r="H249" i="5"/>
  <c r="C249" i="5"/>
  <c r="L249" i="5" s="1"/>
  <c r="P248" i="5"/>
  <c r="N248" i="5"/>
  <c r="H248" i="5"/>
  <c r="C248" i="5"/>
  <c r="L248" i="5" s="1"/>
  <c r="P247" i="5"/>
  <c r="N247" i="5"/>
  <c r="H247" i="5"/>
  <c r="C247" i="5"/>
  <c r="L247" i="5" s="1"/>
  <c r="P246" i="5"/>
  <c r="N246" i="5"/>
  <c r="H246" i="5"/>
  <c r="C246" i="5"/>
  <c r="L246" i="5" s="1"/>
  <c r="P245" i="5"/>
  <c r="N245" i="5"/>
  <c r="H245" i="5"/>
  <c r="C245" i="5"/>
  <c r="L245" i="5" s="1"/>
  <c r="P244" i="5"/>
  <c r="N244" i="5"/>
  <c r="H244" i="5"/>
  <c r="C244" i="5"/>
  <c r="L244" i="5" s="1"/>
  <c r="P243" i="5"/>
  <c r="N243" i="5"/>
  <c r="H243" i="5"/>
  <c r="C243" i="5"/>
  <c r="L243" i="5" s="1"/>
  <c r="P242" i="5"/>
  <c r="N242" i="5"/>
  <c r="H242" i="5"/>
  <c r="C242" i="5"/>
  <c r="L242" i="5" s="1"/>
  <c r="P241" i="5"/>
  <c r="N241" i="5"/>
  <c r="H241" i="5"/>
  <c r="C241" i="5"/>
  <c r="L241" i="5" s="1"/>
  <c r="P240" i="5"/>
  <c r="N240" i="5"/>
  <c r="H240" i="5"/>
  <c r="C240" i="5"/>
  <c r="L240" i="5" s="1"/>
  <c r="P239" i="5"/>
  <c r="N239" i="5"/>
  <c r="H239" i="5"/>
  <c r="C239" i="5"/>
  <c r="L239" i="5" s="1"/>
  <c r="P238" i="5"/>
  <c r="N238" i="5"/>
  <c r="H238" i="5"/>
  <c r="C238" i="5"/>
  <c r="L238" i="5" s="1"/>
  <c r="P237" i="5"/>
  <c r="N237" i="5"/>
  <c r="H237" i="5"/>
  <c r="C237" i="5"/>
  <c r="L237" i="5" s="1"/>
  <c r="P236" i="5"/>
  <c r="N236" i="5"/>
  <c r="H236" i="5"/>
  <c r="C236" i="5"/>
  <c r="L236" i="5" s="1"/>
  <c r="P235" i="5"/>
  <c r="N235" i="5"/>
  <c r="H235" i="5"/>
  <c r="C235" i="5"/>
  <c r="L235" i="5" s="1"/>
  <c r="P234" i="5"/>
  <c r="N234" i="5"/>
  <c r="H234" i="5"/>
  <c r="C234" i="5"/>
  <c r="L234" i="5" s="1"/>
  <c r="P233" i="5"/>
  <c r="N233" i="5"/>
  <c r="H233" i="5"/>
  <c r="C233" i="5"/>
  <c r="L233" i="5" s="1"/>
  <c r="P232" i="5"/>
  <c r="N232" i="5"/>
  <c r="H232" i="5"/>
  <c r="C232" i="5"/>
  <c r="L232" i="5" s="1"/>
  <c r="P231" i="5"/>
  <c r="N231" i="5"/>
  <c r="H231" i="5"/>
  <c r="C231" i="5"/>
  <c r="L231" i="5" s="1"/>
  <c r="P230" i="5"/>
  <c r="N230" i="5"/>
  <c r="H230" i="5"/>
  <c r="C230" i="5"/>
  <c r="L230" i="5" s="1"/>
  <c r="P229" i="5"/>
  <c r="N229" i="5"/>
  <c r="H229" i="5"/>
  <c r="C229" i="5"/>
  <c r="L229" i="5" s="1"/>
  <c r="P228" i="5"/>
  <c r="N228" i="5"/>
  <c r="H228" i="5"/>
  <c r="C228" i="5"/>
  <c r="L228" i="5" s="1"/>
  <c r="P227" i="5"/>
  <c r="N227" i="5"/>
  <c r="H227" i="5"/>
  <c r="C227" i="5"/>
  <c r="L227" i="5" s="1"/>
  <c r="P226" i="5"/>
  <c r="N226" i="5"/>
  <c r="H226" i="5"/>
  <c r="C226" i="5"/>
  <c r="L226" i="5" s="1"/>
  <c r="P225" i="5"/>
  <c r="N225" i="5"/>
  <c r="H225" i="5"/>
  <c r="C225" i="5"/>
  <c r="L225" i="5" s="1"/>
  <c r="P224" i="5"/>
  <c r="N224" i="5"/>
  <c r="H224" i="5"/>
  <c r="C224" i="5"/>
  <c r="L224" i="5" s="1"/>
  <c r="P223" i="5"/>
  <c r="N223" i="5"/>
  <c r="H223" i="5"/>
  <c r="C223" i="5"/>
  <c r="L223" i="5" s="1"/>
  <c r="P222" i="5"/>
  <c r="N222" i="5"/>
  <c r="H222" i="5"/>
  <c r="C222" i="5"/>
  <c r="L222" i="5" s="1"/>
  <c r="P221" i="5"/>
  <c r="N221" i="5"/>
  <c r="H221" i="5"/>
  <c r="C221" i="5"/>
  <c r="L221" i="5" s="1"/>
  <c r="P220" i="5"/>
  <c r="N220" i="5"/>
  <c r="H220" i="5"/>
  <c r="C220" i="5"/>
  <c r="L220" i="5" s="1"/>
  <c r="P219" i="5"/>
  <c r="N219" i="5"/>
  <c r="H219" i="5"/>
  <c r="C219" i="5"/>
  <c r="L219" i="5" s="1"/>
  <c r="P218" i="5"/>
  <c r="N218" i="5"/>
  <c r="H218" i="5"/>
  <c r="C218" i="5"/>
  <c r="L218" i="5" s="1"/>
  <c r="P217" i="5"/>
  <c r="N217" i="5"/>
  <c r="H217" i="5"/>
  <c r="C217" i="5"/>
  <c r="L217" i="5" s="1"/>
  <c r="P216" i="5"/>
  <c r="N216" i="5"/>
  <c r="H216" i="5"/>
  <c r="C216" i="5"/>
  <c r="L216" i="5" s="1"/>
  <c r="P215" i="5"/>
  <c r="N215" i="5"/>
  <c r="H215" i="5"/>
  <c r="C215" i="5"/>
  <c r="L215" i="5" s="1"/>
  <c r="P214" i="5"/>
  <c r="N214" i="5"/>
  <c r="H214" i="5"/>
  <c r="C214" i="5"/>
  <c r="L214" i="5" s="1"/>
  <c r="P213" i="5"/>
  <c r="N213" i="5"/>
  <c r="H213" i="5"/>
  <c r="C213" i="5"/>
  <c r="L213" i="5" s="1"/>
  <c r="P212" i="5"/>
  <c r="N212" i="5"/>
  <c r="H212" i="5"/>
  <c r="C212" i="5"/>
  <c r="L212" i="5" s="1"/>
  <c r="P211" i="5"/>
  <c r="N211" i="5"/>
  <c r="H211" i="5"/>
  <c r="C211" i="5"/>
  <c r="L211" i="5" s="1"/>
  <c r="P210" i="5"/>
  <c r="N210" i="5"/>
  <c r="H210" i="5"/>
  <c r="C210" i="5"/>
  <c r="L210" i="5" s="1"/>
  <c r="P209" i="5"/>
  <c r="N209" i="5"/>
  <c r="H209" i="5"/>
  <c r="C209" i="5"/>
  <c r="L209" i="5" s="1"/>
  <c r="P208" i="5"/>
  <c r="N208" i="5"/>
  <c r="H208" i="5"/>
  <c r="C208" i="5"/>
  <c r="L208" i="5" s="1"/>
  <c r="P207" i="5"/>
  <c r="N207" i="5"/>
  <c r="H207" i="5"/>
  <c r="C207" i="5"/>
  <c r="L207" i="5" s="1"/>
  <c r="P206" i="5"/>
  <c r="N206" i="5"/>
  <c r="H206" i="5"/>
  <c r="C206" i="5"/>
  <c r="L206" i="5" s="1"/>
  <c r="P205" i="5"/>
  <c r="N205" i="5"/>
  <c r="H205" i="5"/>
  <c r="C205" i="5"/>
  <c r="L205" i="5" s="1"/>
  <c r="P204" i="5"/>
  <c r="N204" i="5"/>
  <c r="H204" i="5"/>
  <c r="C204" i="5"/>
  <c r="L204" i="5" s="1"/>
  <c r="P203" i="5"/>
  <c r="N203" i="5"/>
  <c r="H203" i="5"/>
  <c r="C203" i="5"/>
  <c r="L203" i="5" s="1"/>
  <c r="P202" i="5"/>
  <c r="N202" i="5"/>
  <c r="H202" i="5"/>
  <c r="C202" i="5"/>
  <c r="L202" i="5" s="1"/>
  <c r="P201" i="5"/>
  <c r="N201" i="5"/>
  <c r="H201" i="5"/>
  <c r="C201" i="5"/>
  <c r="L201" i="5" s="1"/>
  <c r="P200" i="5"/>
  <c r="N200" i="5"/>
  <c r="H200" i="5"/>
  <c r="C200" i="5"/>
  <c r="L200" i="5" s="1"/>
  <c r="P199" i="5"/>
  <c r="N199" i="5"/>
  <c r="H199" i="5"/>
  <c r="C199" i="5"/>
  <c r="L199" i="5" s="1"/>
  <c r="P198" i="5"/>
  <c r="N198" i="5"/>
  <c r="H198" i="5"/>
  <c r="C198" i="5"/>
  <c r="L198" i="5" s="1"/>
  <c r="P197" i="5"/>
  <c r="N197" i="5"/>
  <c r="H197" i="5"/>
  <c r="C197" i="5"/>
  <c r="L197" i="5" s="1"/>
  <c r="P196" i="5"/>
  <c r="N196" i="5"/>
  <c r="H196" i="5"/>
  <c r="C196" i="5"/>
  <c r="L196" i="5" s="1"/>
  <c r="P195" i="5"/>
  <c r="N195" i="5"/>
  <c r="H195" i="5"/>
  <c r="C195" i="5"/>
  <c r="L195" i="5" s="1"/>
  <c r="P194" i="5"/>
  <c r="N194" i="5"/>
  <c r="H194" i="5"/>
  <c r="C194" i="5"/>
  <c r="L194" i="5" s="1"/>
  <c r="P193" i="5"/>
  <c r="N193" i="5"/>
  <c r="H193" i="5"/>
  <c r="C193" i="5"/>
  <c r="L193" i="5" s="1"/>
  <c r="P192" i="5"/>
  <c r="N192" i="5"/>
  <c r="H192" i="5"/>
  <c r="C192" i="5"/>
  <c r="L192" i="5" s="1"/>
  <c r="N191" i="5"/>
  <c r="E191" i="5"/>
  <c r="P191" i="5" s="1"/>
  <c r="N190" i="5"/>
  <c r="H190" i="5"/>
  <c r="E190" i="5"/>
  <c r="C190" i="5" s="1"/>
  <c r="L190" i="5" s="1"/>
  <c r="P189" i="5"/>
  <c r="N189" i="5"/>
  <c r="H189" i="5"/>
  <c r="C189" i="5"/>
  <c r="L189" i="5" s="1"/>
  <c r="P188" i="5"/>
  <c r="N188" i="5"/>
  <c r="H188" i="5"/>
  <c r="C188" i="5"/>
  <c r="L188" i="5" s="1"/>
  <c r="N187" i="5"/>
  <c r="E187" i="5"/>
  <c r="P187" i="5" s="1"/>
  <c r="C187" i="5"/>
  <c r="L187" i="5" s="1"/>
  <c r="N186" i="5"/>
  <c r="H186" i="5"/>
  <c r="E186" i="5"/>
  <c r="P186" i="5" s="1"/>
  <c r="C186" i="5"/>
  <c r="L186" i="5" s="1"/>
  <c r="N185" i="5"/>
  <c r="H185" i="5"/>
  <c r="E185" i="5"/>
  <c r="P185" i="5" s="1"/>
  <c r="C185" i="5"/>
  <c r="L185" i="5" s="1"/>
  <c r="N184" i="5"/>
  <c r="E184" i="5"/>
  <c r="P184" i="5" s="1"/>
  <c r="N183" i="5"/>
  <c r="H183" i="5"/>
  <c r="E183" i="5"/>
  <c r="P183" i="5" s="1"/>
  <c r="N182" i="5"/>
  <c r="H182" i="5"/>
  <c r="E182" i="5"/>
  <c r="P182" i="5" s="1"/>
  <c r="N181" i="5"/>
  <c r="E181" i="5"/>
  <c r="P181" i="5" s="1"/>
  <c r="N180" i="5"/>
  <c r="H180" i="5"/>
  <c r="E180" i="5"/>
  <c r="P180" i="5" s="1"/>
  <c r="P179" i="5"/>
  <c r="N179" i="5"/>
  <c r="H179" i="5"/>
  <c r="E179" i="5"/>
  <c r="C179" i="5"/>
  <c r="L179" i="5" s="1"/>
  <c r="N178" i="5"/>
  <c r="H178" i="5"/>
  <c r="E178" i="5"/>
  <c r="P178" i="5" s="1"/>
  <c r="N177" i="5"/>
  <c r="E177" i="5"/>
  <c r="C177" i="5" s="1"/>
  <c r="L177" i="5" s="1"/>
  <c r="N176" i="5"/>
  <c r="H176" i="5"/>
  <c r="E176" i="5"/>
  <c r="P176" i="5" s="1"/>
  <c r="N175" i="5"/>
  <c r="H175" i="5"/>
  <c r="E175" i="5"/>
  <c r="C175" i="5" s="1"/>
  <c r="L175" i="5" s="1"/>
  <c r="N174" i="5"/>
  <c r="H174" i="5"/>
  <c r="E174" i="5"/>
  <c r="C174" i="5" s="1"/>
  <c r="L174" i="5" s="1"/>
  <c r="N173" i="5"/>
  <c r="H173" i="5"/>
  <c r="E173" i="5"/>
  <c r="C173" i="5" s="1"/>
  <c r="L173" i="5" s="1"/>
  <c r="N172" i="5"/>
  <c r="E172" i="5"/>
  <c r="C172" i="5" s="1"/>
  <c r="L172" i="5" s="1"/>
  <c r="N171" i="5"/>
  <c r="H171" i="5"/>
  <c r="E171" i="5"/>
  <c r="C171" i="5" s="1"/>
  <c r="L171" i="5" s="1"/>
  <c r="N170" i="5"/>
  <c r="H170" i="5"/>
  <c r="E170" i="5"/>
  <c r="C170" i="5" s="1"/>
  <c r="L170" i="5" s="1"/>
  <c r="N169" i="5"/>
  <c r="H169" i="5"/>
  <c r="E169" i="5"/>
  <c r="C169" i="5" s="1"/>
  <c r="L169" i="5" s="1"/>
  <c r="P168" i="5"/>
  <c r="N168" i="5"/>
  <c r="H168" i="5"/>
  <c r="C168" i="5"/>
  <c r="L168" i="5" s="1"/>
  <c r="P167" i="5"/>
  <c r="N167" i="5"/>
  <c r="H167" i="5"/>
  <c r="C167" i="5"/>
  <c r="L167" i="5" s="1"/>
  <c r="N166" i="5"/>
  <c r="H166" i="5"/>
  <c r="E166" i="5"/>
  <c r="P166" i="5" s="1"/>
  <c r="N165" i="5"/>
  <c r="E165" i="5"/>
  <c r="C165" i="5" s="1"/>
  <c r="L165" i="5" s="1"/>
  <c r="N164" i="5"/>
  <c r="H164" i="5"/>
  <c r="E164" i="5"/>
  <c r="C164" i="5" s="1"/>
  <c r="L164" i="5" s="1"/>
  <c r="N163" i="5"/>
  <c r="H163" i="5"/>
  <c r="E163" i="5"/>
  <c r="C163" i="5" s="1"/>
  <c r="L163" i="5" s="1"/>
  <c r="N162" i="5"/>
  <c r="E162" i="5"/>
  <c r="C162" i="5" s="1"/>
  <c r="L162" i="5" s="1"/>
  <c r="N161" i="5"/>
  <c r="E161" i="5"/>
  <c r="N160" i="5"/>
  <c r="E160" i="5"/>
  <c r="P160" i="5" s="1"/>
  <c r="C160" i="5"/>
  <c r="L160" i="5" s="1"/>
  <c r="N159" i="5"/>
  <c r="H159" i="5"/>
  <c r="E159" i="5"/>
  <c r="P159" i="5" s="1"/>
  <c r="N158" i="5"/>
  <c r="H158" i="5"/>
  <c r="E158" i="5"/>
  <c r="P158" i="5" s="1"/>
  <c r="N157" i="5"/>
  <c r="H157" i="5"/>
  <c r="E157" i="5"/>
  <c r="P157" i="5" s="1"/>
  <c r="N156" i="5"/>
  <c r="H156" i="5"/>
  <c r="E156" i="5"/>
  <c r="P156" i="5" s="1"/>
  <c r="N155" i="5"/>
  <c r="E155" i="5"/>
  <c r="C155" i="5" s="1"/>
  <c r="L155" i="5" s="1"/>
  <c r="N154" i="5"/>
  <c r="H154" i="5"/>
  <c r="E154" i="5"/>
  <c r="P154" i="5" s="1"/>
  <c r="P153" i="5"/>
  <c r="N153" i="5"/>
  <c r="H153" i="5"/>
  <c r="E153" i="5"/>
  <c r="C153" i="5"/>
  <c r="L153" i="5" s="1"/>
  <c r="N152" i="5"/>
  <c r="H152" i="5"/>
  <c r="E152" i="5"/>
  <c r="P152" i="5" s="1"/>
  <c r="N151" i="5"/>
  <c r="E151" i="5"/>
  <c r="C151" i="5" s="1"/>
  <c r="L151" i="5" s="1"/>
  <c r="N150" i="5"/>
  <c r="E150" i="5"/>
  <c r="P150" i="5" s="1"/>
  <c r="N149" i="5"/>
  <c r="E149" i="5"/>
  <c r="P149" i="5" s="1"/>
  <c r="N148" i="5"/>
  <c r="H148" i="5"/>
  <c r="E148" i="5"/>
  <c r="P148" i="5" s="1"/>
  <c r="N147" i="5"/>
  <c r="E147" i="5"/>
  <c r="C147" i="5" s="1"/>
  <c r="L147" i="5" s="1"/>
  <c r="N146" i="5"/>
  <c r="E146" i="5"/>
  <c r="C146" i="5" s="1"/>
  <c r="L146" i="5" s="1"/>
  <c r="N145" i="5"/>
  <c r="H145" i="5"/>
  <c r="E145" i="5"/>
  <c r="N144" i="5"/>
  <c r="H144" i="5"/>
  <c r="E144" i="5"/>
  <c r="N143" i="5"/>
  <c r="H143" i="5"/>
  <c r="E143" i="5"/>
  <c r="N142" i="5"/>
  <c r="H142" i="5"/>
  <c r="E142" i="5"/>
  <c r="N141" i="5"/>
  <c r="H141" i="5"/>
  <c r="E141" i="5"/>
  <c r="N140" i="5"/>
  <c r="H140" i="5"/>
  <c r="E140" i="5"/>
  <c r="N139" i="5"/>
  <c r="H139" i="5"/>
  <c r="E139" i="5"/>
  <c r="N138" i="5"/>
  <c r="E138" i="5"/>
  <c r="P137" i="5"/>
  <c r="N137" i="5"/>
  <c r="H137" i="5"/>
  <c r="C137" i="5"/>
  <c r="L137" i="5" s="1"/>
  <c r="P136" i="5"/>
  <c r="N136" i="5"/>
  <c r="H136" i="5"/>
  <c r="C136" i="5"/>
  <c r="L136" i="5" s="1"/>
  <c r="N135" i="5"/>
  <c r="E135" i="5"/>
  <c r="N134" i="5"/>
  <c r="H134" i="5"/>
  <c r="E134" i="5"/>
  <c r="P133" i="5"/>
  <c r="N133" i="5"/>
  <c r="H133" i="5"/>
  <c r="C133" i="5"/>
  <c r="L133" i="5" s="1"/>
  <c r="P132" i="5"/>
  <c r="N132" i="5"/>
  <c r="C132" i="5"/>
  <c r="L132" i="5" s="1"/>
  <c r="P131" i="5"/>
  <c r="N131" i="5"/>
  <c r="H131" i="5"/>
  <c r="C131" i="5"/>
  <c r="L131" i="5" s="1"/>
  <c r="P130" i="5"/>
  <c r="N130" i="5"/>
  <c r="H130" i="5"/>
  <c r="C130" i="5"/>
  <c r="L130" i="5" s="1"/>
  <c r="P129" i="5"/>
  <c r="N129" i="5"/>
  <c r="H129" i="5"/>
  <c r="C129" i="5"/>
  <c r="L129" i="5" s="1"/>
  <c r="N128" i="5"/>
  <c r="H128" i="5"/>
  <c r="E128" i="5"/>
  <c r="C128" i="5" s="1"/>
  <c r="L128" i="5" s="1"/>
  <c r="P127" i="5"/>
  <c r="N127" i="5"/>
  <c r="H127" i="5"/>
  <c r="C127" i="5"/>
  <c r="L127" i="5" s="1"/>
  <c r="P126" i="5"/>
  <c r="N126" i="5"/>
  <c r="H126" i="5"/>
  <c r="C126" i="5"/>
  <c r="L126" i="5" s="1"/>
  <c r="P125" i="5"/>
  <c r="N125" i="5"/>
  <c r="H125" i="5"/>
  <c r="C125" i="5"/>
  <c r="L125" i="5" s="1"/>
  <c r="P124" i="5"/>
  <c r="N124" i="5"/>
  <c r="H124" i="5"/>
  <c r="C124" i="5"/>
  <c r="L124" i="5" s="1"/>
  <c r="N123" i="5"/>
  <c r="E123" i="5"/>
  <c r="C123" i="5" s="1"/>
  <c r="L123" i="5" s="1"/>
  <c r="N122" i="5"/>
  <c r="H122" i="5"/>
  <c r="E122" i="5"/>
  <c r="P122" i="5" s="1"/>
  <c r="N121" i="5"/>
  <c r="H121" i="5"/>
  <c r="E121" i="5"/>
  <c r="P121" i="5" s="1"/>
  <c r="N120" i="5"/>
  <c r="H120" i="5"/>
  <c r="E120" i="5"/>
  <c r="P120" i="5" s="1"/>
  <c r="N119" i="5"/>
  <c r="E119" i="5"/>
  <c r="N118" i="5"/>
  <c r="H118" i="5"/>
  <c r="E118" i="5"/>
  <c r="N117" i="5"/>
  <c r="H117" i="5"/>
  <c r="E117" i="5"/>
  <c r="N116" i="5"/>
  <c r="H116" i="5"/>
  <c r="E116" i="5"/>
  <c r="N115" i="5"/>
  <c r="H115" i="5"/>
  <c r="E115" i="5"/>
  <c r="N114" i="5"/>
  <c r="H114" i="5"/>
  <c r="E114" i="5"/>
  <c r="N113" i="5"/>
  <c r="H113" i="5"/>
  <c r="E113" i="5"/>
  <c r="N112" i="5"/>
  <c r="E112" i="5"/>
  <c r="C112" i="5" s="1"/>
  <c r="L112" i="5" s="1"/>
  <c r="N111" i="5"/>
  <c r="E111" i="5"/>
  <c r="P111" i="5" s="1"/>
  <c r="P110" i="5"/>
  <c r="N110" i="5"/>
  <c r="H110" i="5"/>
  <c r="E110" i="5"/>
  <c r="C110" i="5" s="1"/>
  <c r="L110" i="5" s="1"/>
  <c r="N109" i="5"/>
  <c r="E109" i="5"/>
  <c r="C109" i="5" s="1"/>
  <c r="L109" i="5" s="1"/>
  <c r="N108" i="5"/>
  <c r="E108" i="5"/>
  <c r="N107" i="5"/>
  <c r="H107" i="5"/>
  <c r="E107" i="5"/>
  <c r="N106" i="5"/>
  <c r="H106" i="5"/>
  <c r="E106" i="5"/>
  <c r="N105" i="5"/>
  <c r="H105" i="5"/>
  <c r="E105" i="5"/>
  <c r="N104" i="5"/>
  <c r="E104" i="5"/>
  <c r="P104" i="5" s="1"/>
  <c r="N103" i="5"/>
  <c r="H103" i="5"/>
  <c r="E103" i="5"/>
  <c r="P103" i="5" s="1"/>
  <c r="N102" i="5"/>
  <c r="E102" i="5"/>
  <c r="P102" i="5" s="1"/>
  <c r="N101" i="5"/>
  <c r="H101" i="5"/>
  <c r="E101" i="5"/>
  <c r="C101" i="5" s="1"/>
  <c r="L101" i="5" s="1"/>
  <c r="N100" i="5"/>
  <c r="H100" i="5"/>
  <c r="E100" i="5"/>
  <c r="C100" i="5" s="1"/>
  <c r="L100" i="5" s="1"/>
  <c r="N99" i="5"/>
  <c r="H99" i="5"/>
  <c r="E99" i="5"/>
  <c r="C99" i="5" s="1"/>
  <c r="L99" i="5" s="1"/>
  <c r="N98" i="5"/>
  <c r="H98" i="5"/>
  <c r="E98" i="5"/>
  <c r="C98" i="5" s="1"/>
  <c r="L98" i="5" s="1"/>
  <c r="N97" i="5"/>
  <c r="H97" i="5"/>
  <c r="E97" i="5"/>
  <c r="C97" i="5" s="1"/>
  <c r="L97" i="5" s="1"/>
  <c r="N96" i="5"/>
  <c r="E96" i="5"/>
  <c r="C96" i="5" s="1"/>
  <c r="L96" i="5" s="1"/>
  <c r="N95" i="5"/>
  <c r="E95" i="5"/>
  <c r="N94" i="5"/>
  <c r="H94" i="5"/>
  <c r="E94" i="5"/>
  <c r="N93" i="5"/>
  <c r="E93" i="5"/>
  <c r="C93" i="5" s="1"/>
  <c r="L93" i="5" s="1"/>
  <c r="N92" i="5"/>
  <c r="E92" i="5"/>
  <c r="P92" i="5" s="1"/>
  <c r="P91" i="5"/>
  <c r="N91" i="5"/>
  <c r="H91" i="5"/>
  <c r="E91" i="5"/>
  <c r="C91" i="5" s="1"/>
  <c r="L91" i="5" s="1"/>
  <c r="P90" i="5"/>
  <c r="N90" i="5"/>
  <c r="H90" i="5"/>
  <c r="E90" i="5"/>
  <c r="C90" i="5" s="1"/>
  <c r="L90" i="5" s="1"/>
  <c r="P89" i="5"/>
  <c r="N89" i="5"/>
  <c r="H89" i="5"/>
  <c r="E89" i="5"/>
  <c r="C89" i="5" s="1"/>
  <c r="L89" i="5" s="1"/>
  <c r="N88" i="5"/>
  <c r="E88" i="5"/>
  <c r="C88" i="5" s="1"/>
  <c r="L88" i="5" s="1"/>
  <c r="N87" i="5"/>
  <c r="H87" i="5"/>
  <c r="E87" i="5"/>
  <c r="P87" i="5" s="1"/>
  <c r="N86" i="5"/>
  <c r="H86" i="5"/>
  <c r="E86" i="5"/>
  <c r="P86" i="5" s="1"/>
  <c r="N85" i="5"/>
  <c r="H85" i="5"/>
  <c r="E85" i="5"/>
  <c r="P85" i="5" s="1"/>
  <c r="N84" i="5"/>
  <c r="E84" i="5"/>
  <c r="N83" i="5"/>
  <c r="H83" i="5"/>
  <c r="E83" i="5"/>
  <c r="N82" i="5"/>
  <c r="H82" i="5"/>
  <c r="E82" i="5"/>
  <c r="N81" i="5"/>
  <c r="H81" i="5"/>
  <c r="E81" i="5"/>
  <c r="N80" i="5"/>
  <c r="H80" i="5"/>
  <c r="E80" i="5"/>
  <c r="N79" i="5"/>
  <c r="H79" i="5"/>
  <c r="E79" i="5"/>
  <c r="N78" i="5"/>
  <c r="H78" i="5"/>
  <c r="E78" i="5"/>
  <c r="N77" i="5"/>
  <c r="H77" i="5"/>
  <c r="E77" i="5"/>
  <c r="N76" i="5"/>
  <c r="E76" i="5"/>
  <c r="C76" i="5" s="1"/>
  <c r="L76" i="5" s="1"/>
  <c r="N75" i="5"/>
  <c r="H75" i="5"/>
  <c r="E75" i="5"/>
  <c r="P75" i="5" s="1"/>
  <c r="N74" i="5"/>
  <c r="E74" i="5"/>
  <c r="P74" i="5" s="1"/>
  <c r="N73" i="5"/>
  <c r="H73" i="5"/>
  <c r="E73" i="5"/>
  <c r="C73" i="5" s="1"/>
  <c r="L73" i="5" s="1"/>
  <c r="N72" i="5"/>
  <c r="E72" i="5"/>
  <c r="C72" i="5" s="1"/>
  <c r="L72" i="5" s="1"/>
  <c r="N71" i="5"/>
  <c r="E71" i="5"/>
  <c r="N70" i="5"/>
  <c r="H70" i="5"/>
  <c r="E70" i="5"/>
  <c r="P70" i="5" s="1"/>
  <c r="R68" i="5"/>
  <c r="P68" i="5"/>
  <c r="N68" i="5"/>
  <c r="H68" i="5"/>
  <c r="C68" i="5"/>
  <c r="L68" i="5" s="1"/>
  <c r="R67" i="5"/>
  <c r="P67" i="5"/>
  <c r="N67" i="5"/>
  <c r="H67" i="5"/>
  <c r="C67" i="5"/>
  <c r="L67" i="5" s="1"/>
  <c r="R66" i="5"/>
  <c r="P66" i="5"/>
  <c r="N66" i="5"/>
  <c r="H66" i="5"/>
  <c r="C66" i="5"/>
  <c r="L66" i="5" s="1"/>
  <c r="R65" i="5"/>
  <c r="P65" i="5"/>
  <c r="N65" i="5"/>
  <c r="H65" i="5"/>
  <c r="C65" i="5"/>
  <c r="L65" i="5" s="1"/>
  <c r="R64" i="5"/>
  <c r="P64" i="5"/>
  <c r="N64" i="5"/>
  <c r="H64" i="5"/>
  <c r="C64" i="5"/>
  <c r="L64" i="5" s="1"/>
  <c r="R63" i="5"/>
  <c r="P63" i="5"/>
  <c r="N63" i="5"/>
  <c r="H63" i="5"/>
  <c r="C63" i="5"/>
  <c r="L63" i="5" s="1"/>
  <c r="R62" i="5"/>
  <c r="P62" i="5"/>
  <c r="N62" i="5"/>
  <c r="H62" i="5"/>
  <c r="C62" i="5"/>
  <c r="L62" i="5" s="1"/>
  <c r="R61" i="5"/>
  <c r="P61" i="5"/>
  <c r="N61" i="5"/>
  <c r="H61" i="5"/>
  <c r="C61" i="5"/>
  <c r="L61" i="5" s="1"/>
  <c r="R60" i="5"/>
  <c r="P60" i="5"/>
  <c r="N60" i="5"/>
  <c r="H60" i="5"/>
  <c r="C60" i="5"/>
  <c r="L60" i="5" s="1"/>
  <c r="R59" i="5"/>
  <c r="P59" i="5"/>
  <c r="N59" i="5"/>
  <c r="H59" i="5"/>
  <c r="C59" i="5"/>
  <c r="L59" i="5" s="1"/>
  <c r="R58" i="5"/>
  <c r="P58" i="5"/>
  <c r="N58" i="5"/>
  <c r="H58" i="5"/>
  <c r="C58" i="5"/>
  <c r="L58" i="5" s="1"/>
  <c r="R57" i="5"/>
  <c r="P57" i="5"/>
  <c r="N57" i="5"/>
  <c r="H57" i="5"/>
  <c r="C57" i="5"/>
  <c r="L57" i="5" s="1"/>
  <c r="R56" i="5"/>
  <c r="P56" i="5"/>
  <c r="N56" i="5"/>
  <c r="H56" i="5"/>
  <c r="C56" i="5"/>
  <c r="L56" i="5" s="1"/>
  <c r="R55" i="5"/>
  <c r="P55" i="5"/>
  <c r="N55" i="5"/>
  <c r="H55" i="5"/>
  <c r="C55" i="5"/>
  <c r="L55" i="5" s="1"/>
  <c r="R54" i="5"/>
  <c r="P54" i="5"/>
  <c r="N54" i="5"/>
  <c r="H54" i="5"/>
  <c r="C54" i="5"/>
  <c r="L54" i="5" s="1"/>
  <c r="R53" i="5"/>
  <c r="P53" i="5"/>
  <c r="N53" i="5"/>
  <c r="H53" i="5"/>
  <c r="C53" i="5"/>
  <c r="L53" i="5" s="1"/>
  <c r="R52" i="5"/>
  <c r="P52" i="5"/>
  <c r="N52" i="5"/>
  <c r="H52" i="5"/>
  <c r="C52" i="5"/>
  <c r="L52" i="5" s="1"/>
  <c r="R51" i="5"/>
  <c r="P51" i="5"/>
  <c r="N51" i="5"/>
  <c r="H51" i="5"/>
  <c r="C51" i="5"/>
  <c r="L51" i="5" s="1"/>
  <c r="R50" i="5"/>
  <c r="P50" i="5"/>
  <c r="N50" i="5"/>
  <c r="H50" i="5"/>
  <c r="C50" i="5"/>
  <c r="L50" i="5" s="1"/>
  <c r="R49" i="5"/>
  <c r="P49" i="5"/>
  <c r="N49" i="5"/>
  <c r="H49" i="5"/>
  <c r="C49" i="5"/>
  <c r="L49" i="5" s="1"/>
  <c r="R48" i="5"/>
  <c r="P48" i="5"/>
  <c r="N48" i="5"/>
  <c r="H48" i="5"/>
  <c r="C48" i="5"/>
  <c r="L48" i="5" s="1"/>
  <c r="R47" i="5"/>
  <c r="P47" i="5"/>
  <c r="N47" i="5"/>
  <c r="H47" i="5"/>
  <c r="C47" i="5"/>
  <c r="L47" i="5" s="1"/>
  <c r="R46" i="5"/>
  <c r="P46" i="5"/>
  <c r="N46" i="5"/>
  <c r="H46" i="5"/>
  <c r="C46" i="5"/>
  <c r="L46" i="5" s="1"/>
  <c r="R45" i="5"/>
  <c r="P45" i="5"/>
  <c r="N45" i="5"/>
  <c r="H45" i="5"/>
  <c r="C45" i="5"/>
  <c r="L45" i="5" s="1"/>
  <c r="P44" i="5"/>
  <c r="N44" i="5"/>
  <c r="H44" i="5"/>
  <c r="C44" i="5"/>
  <c r="L44" i="5" s="1"/>
  <c r="P43" i="5"/>
  <c r="N43" i="5"/>
  <c r="H43" i="5"/>
  <c r="C43" i="5"/>
  <c r="L43" i="5" s="1"/>
  <c r="P42" i="5"/>
  <c r="N42" i="5"/>
  <c r="H42" i="5"/>
  <c r="C42" i="5"/>
  <c r="L42" i="5" s="1"/>
  <c r="R41" i="5"/>
  <c r="P41" i="5"/>
  <c r="N41" i="5"/>
  <c r="H41" i="5"/>
  <c r="C41" i="5"/>
  <c r="L41" i="5" s="1"/>
  <c r="R40" i="5"/>
  <c r="P40" i="5"/>
  <c r="N40" i="5"/>
  <c r="H40" i="5"/>
  <c r="C40" i="5"/>
  <c r="L40" i="5" s="1"/>
  <c r="R39" i="5"/>
  <c r="P39" i="5"/>
  <c r="N39" i="5"/>
  <c r="H39" i="5"/>
  <c r="C39" i="5"/>
  <c r="L39" i="5" s="1"/>
  <c r="R38" i="5"/>
  <c r="P38" i="5"/>
  <c r="N38" i="5"/>
  <c r="H38" i="5"/>
  <c r="C38" i="5"/>
  <c r="L38" i="5" s="1"/>
  <c r="R37" i="5"/>
  <c r="P37" i="5"/>
  <c r="N37" i="5"/>
  <c r="H37" i="5"/>
  <c r="C37" i="5"/>
  <c r="L37" i="5" s="1"/>
  <c r="R36" i="5"/>
  <c r="P36" i="5"/>
  <c r="N36" i="5"/>
  <c r="H36" i="5"/>
  <c r="C36" i="5"/>
  <c r="L36" i="5" s="1"/>
  <c r="R35" i="5"/>
  <c r="P35" i="5"/>
  <c r="N35" i="5"/>
  <c r="H35" i="5"/>
  <c r="C35" i="5"/>
  <c r="L35" i="5" s="1"/>
  <c r="R34" i="5"/>
  <c r="P34" i="5"/>
  <c r="N34" i="5"/>
  <c r="H34" i="5"/>
  <c r="C34" i="5"/>
  <c r="L34" i="5" s="1"/>
  <c r="R33" i="5"/>
  <c r="P33" i="5"/>
  <c r="N33" i="5"/>
  <c r="H33" i="5"/>
  <c r="C33" i="5"/>
  <c r="L33" i="5" s="1"/>
  <c r="R32" i="5"/>
  <c r="P32" i="5"/>
  <c r="N32" i="5"/>
  <c r="H32" i="5"/>
  <c r="C32" i="5"/>
  <c r="L32" i="5" s="1"/>
  <c r="R31" i="5"/>
  <c r="P31" i="5"/>
  <c r="N31" i="5"/>
  <c r="H31" i="5"/>
  <c r="C31" i="5"/>
  <c r="L31" i="5" s="1"/>
  <c r="R30" i="5"/>
  <c r="P30" i="5"/>
  <c r="N30" i="5"/>
  <c r="H30" i="5"/>
  <c r="C24" i="4" s="1"/>
  <c r="C30" i="5"/>
  <c r="L30" i="5" s="1"/>
  <c r="R29" i="5"/>
  <c r="P29" i="5"/>
  <c r="N29" i="5"/>
  <c r="H29" i="5"/>
  <c r="C22" i="4" s="1"/>
  <c r="C29" i="5"/>
  <c r="L29" i="5" s="1"/>
  <c r="R28" i="5"/>
  <c r="P28" i="5"/>
  <c r="N28" i="5"/>
  <c r="H28" i="5"/>
  <c r="C28" i="5"/>
  <c r="L28" i="5" s="1"/>
  <c r="R27" i="5"/>
  <c r="P27" i="5"/>
  <c r="N27" i="5"/>
  <c r="H27" i="5"/>
  <c r="C27" i="5"/>
  <c r="L27" i="5" s="1"/>
  <c r="R26" i="5"/>
  <c r="P26" i="5"/>
  <c r="N26" i="5"/>
  <c r="H26" i="5"/>
  <c r="C26" i="5"/>
  <c r="L26" i="5" s="1"/>
  <c r="R25" i="5"/>
  <c r="P25" i="5"/>
  <c r="N25" i="5"/>
  <c r="H25" i="5"/>
  <c r="C25" i="5"/>
  <c r="L25" i="5" s="1"/>
  <c r="R24" i="5"/>
  <c r="P24" i="5"/>
  <c r="N24" i="5"/>
  <c r="H24" i="5"/>
  <c r="C24" i="5"/>
  <c r="L24" i="5" s="1"/>
  <c r="R23" i="5"/>
  <c r="P23" i="5"/>
  <c r="N23" i="5"/>
  <c r="H23" i="5"/>
  <c r="C23" i="5"/>
  <c r="L23" i="5" s="1"/>
  <c r="R22" i="5"/>
  <c r="P22" i="5"/>
  <c r="N22" i="5"/>
  <c r="H22" i="5"/>
  <c r="C22" i="5"/>
  <c r="L22" i="5" s="1"/>
  <c r="R21" i="5"/>
  <c r="P21" i="5"/>
  <c r="N21" i="5"/>
  <c r="H21" i="5"/>
  <c r="C21" i="5"/>
  <c r="L21" i="5" s="1"/>
  <c r="R20" i="5"/>
  <c r="P20" i="5"/>
  <c r="N20" i="5"/>
  <c r="H20" i="5"/>
  <c r="C20" i="5"/>
  <c r="L20" i="5" s="1"/>
  <c r="R19" i="5"/>
  <c r="P19" i="5"/>
  <c r="N19" i="5"/>
  <c r="H19" i="5"/>
  <c r="C19" i="5"/>
  <c r="L19" i="5" s="1"/>
  <c r="R18" i="5"/>
  <c r="P18" i="5"/>
  <c r="N18" i="5"/>
  <c r="H18" i="5"/>
  <c r="C18" i="5"/>
  <c r="L18" i="5" s="1"/>
  <c r="R17" i="5"/>
  <c r="P17" i="5"/>
  <c r="N17" i="5"/>
  <c r="H17" i="5"/>
  <c r="C17" i="5"/>
  <c r="L17" i="5" s="1"/>
  <c r="R16" i="5"/>
  <c r="P16" i="5"/>
  <c r="N16" i="5"/>
  <c r="H16" i="5"/>
  <c r="C16" i="5"/>
  <c r="L16" i="5" s="1"/>
  <c r="R15" i="5"/>
  <c r="P15" i="5"/>
  <c r="N15" i="5"/>
  <c r="H15" i="5"/>
  <c r="C15" i="5"/>
  <c r="L15" i="5" s="1"/>
  <c r="R14" i="5"/>
  <c r="P14" i="5"/>
  <c r="N14" i="5"/>
  <c r="H14" i="5"/>
  <c r="C14" i="5"/>
  <c r="L14" i="5" s="1"/>
  <c r="R13" i="5"/>
  <c r="P13" i="5"/>
  <c r="N13" i="5"/>
  <c r="H13" i="5"/>
  <c r="C13" i="5"/>
  <c r="L13" i="5" s="1"/>
  <c r="R12" i="5"/>
  <c r="P12" i="5"/>
  <c r="N12" i="5"/>
  <c r="H12" i="5"/>
  <c r="C12" i="5"/>
  <c r="L12" i="5" s="1"/>
  <c r="R11" i="5"/>
  <c r="P11" i="5"/>
  <c r="N11" i="5"/>
  <c r="H11" i="5"/>
  <c r="C11" i="5"/>
  <c r="L11" i="5" s="1"/>
  <c r="R10" i="5"/>
  <c r="N10" i="5"/>
  <c r="H10" i="5"/>
  <c r="E10" i="5"/>
  <c r="P10" i="5" s="1"/>
  <c r="R9" i="5"/>
  <c r="N9" i="5"/>
  <c r="H9" i="5"/>
  <c r="E9" i="5"/>
  <c r="C9" i="5" s="1"/>
  <c r="L9" i="5" s="1"/>
  <c r="R8" i="5"/>
  <c r="N8" i="5"/>
  <c r="H8" i="5"/>
  <c r="E8" i="5"/>
  <c r="P8" i="5" s="1"/>
  <c r="R7" i="5"/>
  <c r="P7" i="5"/>
  <c r="N7" i="5"/>
  <c r="H7" i="5"/>
  <c r="C7" i="5"/>
  <c r="L7" i="5" s="1"/>
  <c r="R6" i="5"/>
  <c r="N6" i="5"/>
  <c r="H6" i="5"/>
  <c r="E6" i="5"/>
  <c r="P6" i="5" s="1"/>
  <c r="R5" i="5"/>
  <c r="N5" i="5"/>
  <c r="H5" i="5"/>
  <c r="E5" i="5"/>
  <c r="P5" i="5" s="1"/>
  <c r="R4" i="5"/>
  <c r="N4" i="5"/>
  <c r="H4" i="5"/>
  <c r="E4" i="5"/>
  <c r="C4" i="5" s="1"/>
  <c r="L4" i="5" s="1"/>
  <c r="R3" i="5"/>
  <c r="N3" i="5"/>
  <c r="H3" i="5"/>
  <c r="E3" i="5"/>
  <c r="P3" i="5" s="1"/>
  <c r="C18" i="4" l="1"/>
  <c r="C23" i="4"/>
  <c r="C19" i="4"/>
  <c r="C16" i="4"/>
  <c r="C181" i="5"/>
  <c r="L181" i="5" s="1"/>
  <c r="P88" i="5"/>
  <c r="C166" i="5"/>
  <c r="L166" i="5" s="1"/>
  <c r="C183" i="5"/>
  <c r="L183" i="5" s="1"/>
  <c r="C85" i="5"/>
  <c r="L85" i="5" s="1"/>
  <c r="C86" i="5"/>
  <c r="L86" i="5" s="1"/>
  <c r="C87" i="5"/>
  <c r="L87" i="5" s="1"/>
  <c r="C104" i="5"/>
  <c r="L104" i="5" s="1"/>
  <c r="C178" i="5"/>
  <c r="L178" i="5" s="1"/>
  <c r="C182" i="5"/>
  <c r="L182" i="5" s="1"/>
  <c r="C8" i="5"/>
  <c r="L8" i="5" s="1"/>
  <c r="C75" i="5"/>
  <c r="L75" i="5" s="1"/>
  <c r="P101" i="5"/>
  <c r="C154" i="5"/>
  <c r="L154" i="5" s="1"/>
  <c r="C159" i="5"/>
  <c r="L159" i="5" s="1"/>
  <c r="P162" i="5"/>
  <c r="P163" i="5"/>
  <c r="P164" i="5"/>
  <c r="C184" i="5"/>
  <c r="L184" i="5" s="1"/>
  <c r="P76" i="5"/>
  <c r="P109" i="5"/>
  <c r="P146" i="5"/>
  <c r="P147" i="5"/>
  <c r="P155" i="5"/>
  <c r="C5" i="5"/>
  <c r="L5" i="5" s="1"/>
  <c r="P73" i="5"/>
  <c r="C103" i="5"/>
  <c r="L103" i="5" s="1"/>
  <c r="C148" i="5"/>
  <c r="L148" i="5" s="1"/>
  <c r="C156" i="5"/>
  <c r="L156" i="5" s="1"/>
  <c r="C158" i="5"/>
  <c r="L158" i="5" s="1"/>
  <c r="P165" i="5"/>
  <c r="P173" i="5"/>
  <c r="C6" i="5"/>
  <c r="L6" i="5" s="1"/>
  <c r="P72" i="5"/>
  <c r="P93" i="5"/>
  <c r="P96" i="5"/>
  <c r="P97" i="5"/>
  <c r="P98" i="5"/>
  <c r="P99" i="5"/>
  <c r="P100" i="5"/>
  <c r="P112" i="5"/>
  <c r="P123" i="5"/>
  <c r="P151" i="5"/>
  <c r="P172" i="5"/>
  <c r="C3" i="5"/>
  <c r="L3" i="5" s="1"/>
  <c r="C10" i="5"/>
  <c r="L10" i="5" s="1"/>
  <c r="C120" i="5"/>
  <c r="L120" i="5" s="1"/>
  <c r="C121" i="5"/>
  <c r="L121" i="5" s="1"/>
  <c r="C122" i="5"/>
  <c r="L122" i="5" s="1"/>
  <c r="P128" i="5"/>
  <c r="C149" i="5"/>
  <c r="L149" i="5" s="1"/>
  <c r="C152" i="5"/>
  <c r="L152" i="5" s="1"/>
  <c r="C157" i="5"/>
  <c r="L157" i="5" s="1"/>
  <c r="P174" i="5"/>
  <c r="P175" i="5"/>
  <c r="C180" i="5"/>
  <c r="L180" i="5" s="1"/>
  <c r="P190" i="5"/>
  <c r="C94" i="5"/>
  <c r="L94" i="5" s="1"/>
  <c r="P94" i="5"/>
  <c r="C71" i="5"/>
  <c r="L71" i="5" s="1"/>
  <c r="P71" i="5"/>
  <c r="C105" i="5"/>
  <c r="L105" i="5" s="1"/>
  <c r="P105" i="5"/>
  <c r="C106" i="5"/>
  <c r="L106" i="5" s="1"/>
  <c r="P106" i="5"/>
  <c r="C107" i="5"/>
  <c r="L107" i="5" s="1"/>
  <c r="P107" i="5"/>
  <c r="C108" i="5"/>
  <c r="L108" i="5" s="1"/>
  <c r="P108" i="5"/>
  <c r="C113" i="5"/>
  <c r="L113" i="5" s="1"/>
  <c r="P113" i="5"/>
  <c r="C114" i="5"/>
  <c r="L114" i="5" s="1"/>
  <c r="P114" i="5"/>
  <c r="C115" i="5"/>
  <c r="L115" i="5" s="1"/>
  <c r="P115" i="5"/>
  <c r="C116" i="5"/>
  <c r="L116" i="5" s="1"/>
  <c r="P116" i="5"/>
  <c r="C117" i="5"/>
  <c r="L117" i="5" s="1"/>
  <c r="P117" i="5"/>
  <c r="C118" i="5"/>
  <c r="L118" i="5" s="1"/>
  <c r="P118" i="5"/>
  <c r="C119" i="5"/>
  <c r="L119" i="5" s="1"/>
  <c r="P119" i="5"/>
  <c r="C95" i="5"/>
  <c r="L95" i="5" s="1"/>
  <c r="P95" i="5"/>
  <c r="C161" i="5"/>
  <c r="L161" i="5" s="1"/>
  <c r="P161" i="5"/>
  <c r="P4" i="5"/>
  <c r="P9" i="5"/>
  <c r="C70" i="5"/>
  <c r="L70" i="5" s="1"/>
  <c r="C77" i="5"/>
  <c r="L77" i="5" s="1"/>
  <c r="P77" i="5"/>
  <c r="C78" i="5"/>
  <c r="L78" i="5" s="1"/>
  <c r="P78" i="5"/>
  <c r="C79" i="5"/>
  <c r="L79" i="5" s="1"/>
  <c r="P79" i="5"/>
  <c r="C80" i="5"/>
  <c r="L80" i="5" s="1"/>
  <c r="P80" i="5"/>
  <c r="C81" i="5"/>
  <c r="L81" i="5" s="1"/>
  <c r="P81" i="5"/>
  <c r="C82" i="5"/>
  <c r="L82" i="5" s="1"/>
  <c r="P82" i="5"/>
  <c r="C83" i="5"/>
  <c r="L83" i="5" s="1"/>
  <c r="P83" i="5"/>
  <c r="C84" i="5"/>
  <c r="L84" i="5" s="1"/>
  <c r="P84" i="5"/>
  <c r="C134" i="5"/>
  <c r="L134" i="5" s="1"/>
  <c r="P134" i="5"/>
  <c r="C135" i="5"/>
  <c r="L135" i="5" s="1"/>
  <c r="P135" i="5"/>
  <c r="P138" i="5"/>
  <c r="C138" i="5"/>
  <c r="L138" i="5" s="1"/>
  <c r="C74" i="5"/>
  <c r="L74" i="5" s="1"/>
  <c r="C92" i="5"/>
  <c r="L92" i="5" s="1"/>
  <c r="C102" i="5"/>
  <c r="L102" i="5" s="1"/>
  <c r="C111" i="5"/>
  <c r="L111" i="5" s="1"/>
  <c r="C150" i="5"/>
  <c r="L150" i="5" s="1"/>
  <c r="C139" i="5"/>
  <c r="L139" i="5" s="1"/>
  <c r="P139" i="5"/>
  <c r="C140" i="5"/>
  <c r="L140" i="5" s="1"/>
  <c r="P140" i="5"/>
  <c r="C141" i="5"/>
  <c r="L141" i="5" s="1"/>
  <c r="P141" i="5"/>
  <c r="C142" i="5"/>
  <c r="L142" i="5" s="1"/>
  <c r="P142" i="5"/>
  <c r="C143" i="5"/>
  <c r="L143" i="5" s="1"/>
  <c r="P143" i="5"/>
  <c r="C144" i="5"/>
  <c r="L144" i="5" s="1"/>
  <c r="P144" i="5"/>
  <c r="C145" i="5"/>
  <c r="L145" i="5" s="1"/>
  <c r="P145" i="5"/>
  <c r="P169" i="5"/>
  <c r="P170" i="5"/>
  <c r="P171" i="5"/>
  <c r="C176" i="5"/>
  <c r="L176" i="5" s="1"/>
  <c r="P177" i="5"/>
  <c r="C191" i="5"/>
  <c r="L191" i="5" s="1"/>
  <c r="N26" i="4" l="1"/>
  <c r="P28" i="4" s="1"/>
  <c r="L26" i="4" l="1"/>
  <c r="P30" i="4" s="1"/>
  <c r="P31" i="4" s="1"/>
  <c r="F37" i="4"/>
  <c r="F36" i="4" l="1"/>
  <c r="P26" i="4"/>
  <c r="S47" i="4" l="1"/>
  <c r="S48" i="4" s="1"/>
  <c r="R47" i="4"/>
  <c r="R48" i="4" l="1"/>
  <c r="F39" i="4" l="1"/>
  <c r="U47" i="4" l="1"/>
  <c r="K39" i="4"/>
  <c r="K45" i="4" s="1"/>
  <c r="M36" i="4" s="1"/>
  <c r="M45" i="4" s="1"/>
  <c r="T47" i="4" s="1"/>
  <c r="T48" i="4" s="1"/>
  <c r="Q47" i="4" l="1"/>
  <c r="Q48" i="4" s="1"/>
  <c r="U48" i="4"/>
</calcChain>
</file>

<file path=xl/sharedStrings.xml><?xml version="1.0" encoding="utf-8"?>
<sst xmlns="http://schemas.openxmlformats.org/spreadsheetml/2006/main" count="417" uniqueCount="380">
  <si>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</si>
  <si>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</si>
  <si>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</si>
  <si>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</si>
  <si>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</si>
  <si>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</si>
  <si>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</si>
  <si>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</si>
  <si>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</si>
  <si>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</si>
  <si>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Ед. измер.</t>
  </si>
  <si>
    <t>Год ввода в эксплуатацию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</si>
  <si>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</si>
  <si>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</si>
  <si>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</si>
  <si>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</si>
  <si>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</si>
  <si>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ВСЕГО</t>
  </si>
  <si>
    <t>Примечание:</t>
  </si>
  <si>
    <t>*</t>
  </si>
  <si>
    <t>**</t>
  </si>
  <si>
    <t>ПИР ***</t>
  </si>
  <si>
    <t>***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</si>
  <si>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</si>
  <si>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</si>
  <si>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</si>
  <si>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</si>
  <si>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</si>
  <si>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</si>
  <si>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t>Индекс пересчета в прогнозные цены выбирается из информации, доведенной ДКС, на год ввода в основные фонды.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</si>
  <si>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</si>
  <si>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</si>
  <si>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</si>
  <si>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</si>
  <si>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</si>
  <si>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</si>
  <si>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</si>
  <si>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</si>
  <si>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</si>
  <si>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</si>
  <si>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</si>
  <si>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</si>
  <si>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</si>
  <si>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Реконструкция 1 км ВЛ-0,4 кВ (СИП-2 3*16+1*25)</t>
  </si>
  <si>
    <t>Реконструкция 1 км ВЛ-0,4 кВ (СИП-2 3*70+1*95+1*25)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</si>
  <si>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</si>
  <si>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</si>
  <si>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</si>
  <si>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</si>
  <si>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</si>
  <si>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</si>
  <si>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</si>
  <si>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</si>
  <si>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</si>
  <si>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</si>
  <si>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</si>
  <si>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</si>
  <si>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</si>
  <si>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</si>
  <si>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</si>
  <si>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</si>
  <si>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</si>
  <si>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</si>
  <si>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</si>
  <si>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</si>
  <si>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</si>
  <si>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</si>
  <si>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</si>
  <si>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</si>
  <si>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</si>
  <si>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</si>
  <si>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деревянные опоры</t>
  </si>
  <si>
    <t>Замена опоры СВ-95</t>
  </si>
  <si>
    <t>Монтаж мульти-виски</t>
  </si>
  <si>
    <t>Разъединитель РЛК</t>
  </si>
  <si>
    <t>Разъединитель РЛНД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</si>
  <si>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</si>
  <si>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</si>
  <si>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</si>
  <si>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</si>
  <si>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</si>
  <si>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</si>
  <si>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КЛ-10 (АСБ 3Х120 ММ2 )</t>
  </si>
  <si>
    <t>Строительство КЛ-10 кВ АПвПу2г 3х120/35 мм2</t>
  </si>
  <si>
    <t>Строительство КЛ-10 кВ АПвПу2г 3х240/70 мм2 два кабеля</t>
  </si>
  <si>
    <t>Строительство КЛ-10 кВ АПвПу2г 1х120/70 мм2 два кабеля</t>
  </si>
  <si>
    <t>Дренажная система</t>
  </si>
  <si>
    <t>Строительство БКТП 2*1000</t>
  </si>
  <si>
    <t>Строительство БКТП 2*1600</t>
  </si>
  <si>
    <t>Строительство СТП 40</t>
  </si>
  <si>
    <t>2022 г.</t>
  </si>
  <si>
    <t>2023 г.</t>
  </si>
  <si>
    <t>2024 г.</t>
  </si>
  <si>
    <t>2025 г.</t>
  </si>
  <si>
    <t>шт</t>
  </si>
  <si>
    <t>4.1</t>
  </si>
  <si>
    <t>4.2</t>
  </si>
  <si>
    <t>4.3</t>
  </si>
  <si>
    <t>4.4</t>
  </si>
  <si>
    <t>4.5</t>
  </si>
  <si>
    <t>ВСЕГО:</t>
  </si>
  <si>
    <t>ОЗП (без НДС) (база)</t>
  </si>
  <si>
    <t>ЭМ (без НДС) (база)</t>
  </si>
  <si>
    <t xml:space="preserve">М (без НДС) (база) </t>
  </si>
  <si>
    <t>Оборудование (без НДС) (база)</t>
  </si>
  <si>
    <t>стоимость без НДС (база)</t>
  </si>
  <si>
    <t>стоимость с  НДС (база)</t>
  </si>
  <si>
    <t>стоимость без НДС (текущая)</t>
  </si>
  <si>
    <t>коэф.ОЗП</t>
  </si>
  <si>
    <t>ОЗП (без НДС) (текущая)</t>
  </si>
  <si>
    <t>коэф.ЭМ</t>
  </si>
  <si>
    <t>ЭМ (без НДС) (текущая)</t>
  </si>
  <si>
    <t>коэф.М</t>
  </si>
  <si>
    <t>М (без НДС) (текущая)</t>
  </si>
  <si>
    <t>коэф. оборудование</t>
  </si>
  <si>
    <t>Оборудование (без НДС) (текущая)</t>
  </si>
  <si>
    <t>Строительство СТП-25</t>
  </si>
  <si>
    <t xml:space="preserve">Строительство СТП 63   </t>
  </si>
  <si>
    <t xml:space="preserve">Строительство СТП 100 </t>
  </si>
  <si>
    <t>Ограждение СТП, МТП</t>
  </si>
  <si>
    <t xml:space="preserve">Строительство МТП 100 </t>
  </si>
  <si>
    <t xml:space="preserve">Строительство МТП 160 </t>
  </si>
  <si>
    <t xml:space="preserve">Строительство МТП 250 </t>
  </si>
  <si>
    <t>Строительство КТП 160</t>
  </si>
  <si>
    <t xml:space="preserve">Строительство КТП П 250  </t>
  </si>
  <si>
    <t xml:space="preserve">Строительство КТПТ 400  </t>
  </si>
  <si>
    <t>Строительство КТП 630</t>
  </si>
  <si>
    <t xml:space="preserve">Строительство КТП П к/к 1000 </t>
  </si>
  <si>
    <t xml:space="preserve">Строительство КТП вв 2*250  </t>
  </si>
  <si>
    <t>Строительство КТП  2* 400</t>
  </si>
  <si>
    <t>Строительство КТПТ 2*630</t>
  </si>
  <si>
    <t xml:space="preserve">Строительство  КТПТ  2*1000 </t>
  </si>
  <si>
    <t xml:space="preserve">Строительство сэндвич-панельной КТПТ  2*1000 </t>
  </si>
  <si>
    <t xml:space="preserve">Строительство БКТП 1*250 </t>
  </si>
  <si>
    <t xml:space="preserve">Строительство БКТП 1*400 </t>
  </si>
  <si>
    <t xml:space="preserve">Строительство БКТП 1*630 </t>
  </si>
  <si>
    <t xml:space="preserve">Строительство БКТП 1*1000 </t>
  </si>
  <si>
    <t>Строительство  БКТП 1*1250</t>
  </si>
  <si>
    <t>Строительство  БКТП 1*1600</t>
  </si>
  <si>
    <t xml:space="preserve"> Строительство БКТП 2*250 </t>
  </si>
  <si>
    <t xml:space="preserve">Строительство БКТП 2*400 </t>
  </si>
  <si>
    <t xml:space="preserve">Строительство БКТП 2*630 </t>
  </si>
  <si>
    <t xml:space="preserve">Строительство БКТП 2*1250 </t>
  </si>
  <si>
    <t>Строительство РП 16 ячеек</t>
  </si>
  <si>
    <t>Строительство  РП 24 ячейки</t>
  </si>
  <si>
    <t>Строительство РТП 24 ячейки 4 ТМГ 1600</t>
  </si>
  <si>
    <t xml:space="preserve"> Строительство РТП 16 ячеек 2 ТМГ 1600 </t>
  </si>
  <si>
    <t xml:space="preserve">Строительство РТП 10 ячеек 2 ТМГ 1250 </t>
  </si>
  <si>
    <t>Строительство  реклоузера с ПКУ</t>
  </si>
  <si>
    <t xml:space="preserve"> Строительство   ПКУ </t>
  </si>
  <si>
    <t>Строительство  реклоузера.</t>
  </si>
  <si>
    <t xml:space="preserve">Установка КД-209 на 5групп </t>
  </si>
  <si>
    <t xml:space="preserve"> Установка КД-209 на 12групп </t>
  </si>
  <si>
    <t xml:space="preserve">Установка КД-211 </t>
  </si>
  <si>
    <t xml:space="preserve"> Реконструкция ТП замена трансформаторов  2*1600 </t>
  </si>
  <si>
    <t xml:space="preserve">Реконструкция ТП замена трансформаторов 2*1000 </t>
  </si>
  <si>
    <t>Реконструкция ТП замена трансформаторов 2*630</t>
  </si>
  <si>
    <t>Реконструкция ТП замена трансформаторов 2*400</t>
  </si>
  <si>
    <t xml:space="preserve">Реконструкция ТП замена трансформаторов 2*250  </t>
  </si>
  <si>
    <t xml:space="preserve">Реконструкция ТП замена трансформаторов 2*160  </t>
  </si>
  <si>
    <t xml:space="preserve">Реконструкция ТП замена трансформаторов 2*100 </t>
  </si>
  <si>
    <t xml:space="preserve"> Реконструкция ТП замена трансформатора 1*1000 </t>
  </si>
  <si>
    <t xml:space="preserve"> Реконструкция ТП замена трансформатора  1*630 </t>
  </si>
  <si>
    <t xml:space="preserve"> Реконструкция ТП замена трансформатора 1*400</t>
  </si>
  <si>
    <t xml:space="preserve">Реконструкция ТП замена трансформатора 1*250 </t>
  </si>
  <si>
    <t xml:space="preserve">Реконструкция ТП замена трансформатора 1*160 </t>
  </si>
  <si>
    <t xml:space="preserve">Реконструкция ТП замена трансформатора 1*100  </t>
  </si>
  <si>
    <t xml:space="preserve">Реконструкция ТП замена  ячейки 0,4 кВ </t>
  </si>
  <si>
    <t xml:space="preserve">Реконструкция ТП установка новой  ЩО-70 </t>
  </si>
  <si>
    <t xml:space="preserve">Реконструкция ТП. Монтаж  ячейки 10 кВ с выкл. нагрузки </t>
  </si>
  <si>
    <t xml:space="preserve">Реконструкция ТП. Замена  ячейки 10 кВ с выкл. нагрузки </t>
  </si>
  <si>
    <t xml:space="preserve">Реконструкция ТП  Монтаж  ячейки 10 кВ с вакуумным выключателем </t>
  </si>
  <si>
    <t>Реконструкция ТП  Замена  ячейки 10 кВ с вакуумным выключателем</t>
  </si>
  <si>
    <t>Реконструкция ТП. Замена  автомата АВ 200 А.</t>
  </si>
  <si>
    <t>Строительство КРУН-10 кВ в ж/б оболочке 6 ячеек(4 отходящие-с вакуумными выкл., 2 вводные - с выкл.нагрузки)</t>
  </si>
  <si>
    <t xml:space="preserve">Реконструкция  КРУН-10 кВ  КСО210 сх.11 - ОЛВыключатель вакуумный BB-TEL-10-20/1000 - 1 шт. -) </t>
  </si>
  <si>
    <t>временная Строительство КТП П  -250/10/0,4 кВ  с арендой оборудования</t>
  </si>
  <si>
    <t>временная Строительство КТП П  -250/10/0,4 кВ  без стоимости оборудования</t>
  </si>
  <si>
    <t>Строительство КЛ-0,4 (АВБбШв 4*50 ММ2  )</t>
  </si>
  <si>
    <t>Строительство КЛ-0,4 (АВБбШв 4*95 ММ2  )</t>
  </si>
  <si>
    <t>Строительство КЛ-0,4 (АВБбШв 4*120 ММ2  )</t>
  </si>
  <si>
    <t>Строительство КЛ-0,4 (АВБбШв 4*150 ММ2  )</t>
  </si>
  <si>
    <t>Строительство КЛ-0,4 (АВБбШв 4*185 ММ2)</t>
  </si>
  <si>
    <t xml:space="preserve">Строительство КЛ-0,4 два кабеля в траншее (АВБбШв 4*95 ММ2 ) </t>
  </si>
  <si>
    <t xml:space="preserve">Строительство КЛ-0,4 два кабеля в траншее (АВБбШв 4*120 ММ2 ) </t>
  </si>
  <si>
    <t xml:space="preserve">Строительство КЛ-0,4 два кабеля в траншее (АВБбШв 4*185 ММ2 ) </t>
  </si>
  <si>
    <t>Строительство КЛ-0,4 (АСБ 4*35 ММ2  )</t>
  </si>
  <si>
    <t>Строительство КЛ-0,4 (АСБ 4*70 ММ2  )</t>
  </si>
  <si>
    <t>Строительство КЛ-0,4 (АСБ 4*95 ММ2  )</t>
  </si>
  <si>
    <t>Строительство КЛ-0,4 (АСБ 4*120 ММ2  )</t>
  </si>
  <si>
    <t>Строительство КЛ-0,4 (АСБ 4*150 ММ2  )</t>
  </si>
  <si>
    <t>Строительство КЛ-0,4 (АСБ 4*185 ММ2  )</t>
  </si>
  <si>
    <t>Строительство КЛ-0,4 (АСБ 4*240 ММ2  )</t>
  </si>
  <si>
    <t xml:space="preserve">Строительство КЛ-0,4 два кабеля в траншее (АСБ 4*95 ММ2 ) </t>
  </si>
  <si>
    <t xml:space="preserve">Строительство КЛ-0,4 два кабеля в траншее (АСБ 4*120 ММ2 ) </t>
  </si>
  <si>
    <t xml:space="preserve">Строительство КЛ-0,4 два кабеля в траншее (АСБ 4*240 ММ2 ) </t>
  </si>
  <si>
    <t xml:space="preserve"> Строительство КЛ-0,4  (АПВБбШп 4х35-1кВ) </t>
  </si>
  <si>
    <t xml:space="preserve"> Строительство КЛ-0,4  (АПВБбШп 4х50-1кВ) </t>
  </si>
  <si>
    <t xml:space="preserve"> Строительство КЛ-0,4  (АПВБбШп 4х70-1кВ) </t>
  </si>
  <si>
    <t xml:space="preserve"> Строительство КЛ-0,4  (АПВБбШп 4х95-1кВ) </t>
  </si>
  <si>
    <t xml:space="preserve"> Строительство КЛ-0,4  (АПВБбШп 4х120-1кВ) </t>
  </si>
  <si>
    <t xml:space="preserve"> Строительство КЛ-0,4  (АПВБбШп 4х150-1кВ) </t>
  </si>
  <si>
    <t xml:space="preserve"> Строительство КЛ-0,4  (АПВБбШп 4х185-1кВ) </t>
  </si>
  <si>
    <t xml:space="preserve"> Строительство КЛ-0,4  (АПВБбШп 4х240-1кВ) </t>
  </si>
  <si>
    <t xml:space="preserve">Строительство КЛ-0,4 два кабеля в траншее (АПВБбШп 4х240-1кВ) </t>
  </si>
  <si>
    <t>Строительство КЛ-10 (АСБ 3Х95 ММ2 )</t>
  </si>
  <si>
    <t>Строительство КЛ-10 (АСБ 3Х150 ММ2 )</t>
  </si>
  <si>
    <t>Строительство КЛ-10 (АСБ 3Х185 ММ2 )</t>
  </si>
  <si>
    <t>Строительство КЛ-10 (АСБ 3Х240 ММ2 )</t>
  </si>
  <si>
    <t>Строительство КЛ-10 (АСБ 3Х95 ММ2 ) два кабеля</t>
  </si>
  <si>
    <t>Строительство КЛ-10 (АСБ 3Х120 ММ2 ) два кабеля</t>
  </si>
  <si>
    <t>Строительство КЛ-10 (АСБ 3Х150 ММ2 ) два кабеля</t>
  </si>
  <si>
    <t>Строительство КЛ-10 (АСБ 3Х185 ММ2 ) два кабеля</t>
  </si>
  <si>
    <t>Строительство КЛ-10 (АСБ 3Х240 ММ2 ) два кабеля</t>
  </si>
  <si>
    <t xml:space="preserve">Строительство КЛ-10 кВ АПвПу2г 1х120/50 мм2 </t>
  </si>
  <si>
    <t xml:space="preserve">Строительство КЛ-10 кВ АПвПу2г 1х240/50 мм2 </t>
  </si>
  <si>
    <t xml:space="preserve">Строительство КЛ-10 кВ АПвПу2г 1х300/50 мм2 </t>
  </si>
  <si>
    <t xml:space="preserve">Строительство КЛ-10 кВ АПвПу2г 1х400/50 мм2 </t>
  </si>
  <si>
    <t xml:space="preserve">Строительство КЛ-10 кВ АПвПу2г 1х630/50 мм2 </t>
  </si>
  <si>
    <t>Строительство КЛ-10 кВ АПвПу2г 1х300/70 мм2 два кабеля</t>
  </si>
  <si>
    <t>Строительство КЛ-10 кВ АПвПу2г 1х630/70 мм2 два кабеля</t>
  </si>
  <si>
    <t xml:space="preserve"> Строительство КЛ-10 Кв АПвПг 1х240/70 мм2 четыре кабеля</t>
  </si>
  <si>
    <t>Строительство КЛ-10 кВ АПвПу2г 1х400/70 мм2 четыре кабеля</t>
  </si>
  <si>
    <t>Строительство КЛ-10 кВ АПвПу2г 1х630/70 мм2 четыре кабеля</t>
  </si>
  <si>
    <t>ГНБ 1 км 1 труба 160 мм кабель АСБ 3*240</t>
  </si>
  <si>
    <t>ГНБ 1 км 2 трубы 160 мм (одна-резерв) кабель АСБ 3*150</t>
  </si>
  <si>
    <t>ГНБ 1 км 2 трубы 110 мм.(одна-резерв) кабель АПвБбШп 4*50</t>
  </si>
  <si>
    <t xml:space="preserve"> ГНБ 1 км 2 трубы 160 мм (одна-резерв) кабель АПвБШп 4*120</t>
  </si>
  <si>
    <t>ГНБ 1 км 2 трубы 225 мм (одна-резерв) кабель АПвПу2г 1*630/70</t>
  </si>
  <si>
    <t>ГНБ 1 км 2 трубы 160 мм (одна-резерв) без  кабеля</t>
  </si>
  <si>
    <t xml:space="preserve"> ГНБ 1 км 3 трубы 160 мм (одна-резерв) кабель АСБ 3*120</t>
  </si>
  <si>
    <t>ГНБ 1 км 3 трубы 160 мм (одна-резерв) кабель АСБ 3*150</t>
  </si>
  <si>
    <t>ГНБ 1 км 3 трубы 160 мм (одна-резерв) кабель АСБ 3*240</t>
  </si>
  <si>
    <t xml:space="preserve">ГНБ 1 км 3 трубы 160 мм (одна-резерв) кабель АПвПу2r 1*240/70 </t>
  </si>
  <si>
    <t xml:space="preserve">ГНБ 1 км 4 трубы 225 мм (две-резерв) кабель АПвПу2г 1*630/50 </t>
  </si>
  <si>
    <t xml:space="preserve">ГНБ 1 км 3 трубы 225 мм (две-резерв) кабель АПвПу2г 1*630/50 </t>
  </si>
  <si>
    <t>ГНБ 1 км 2 трубы 160 мм (одна-резерв) кабель АСБ 3*240</t>
  </si>
  <si>
    <t xml:space="preserve">ГНБ 1 км 3 трубы 160 мм (одна-резерв) кабель АПвПу2r 1*120/70 </t>
  </si>
  <si>
    <t>Строительство КЛ-0,4 (АВБбШв 4*240ММ2  )</t>
  </si>
  <si>
    <t>Строительство КЛ-0,4 два кабеля в траншее (АВБбШв 4*95 ММ2 ) с перегородкой из кирпича</t>
  </si>
  <si>
    <t xml:space="preserve">Строительство КЛ-0,4 два кабеля в траншее (АСБ 4*70ММ2 ) </t>
  </si>
  <si>
    <t>Строительство КЛ-10 (АСБ 3Х70 ММ2 )</t>
  </si>
  <si>
    <t xml:space="preserve">Реконструкция КЛ-0,4  (АПВБбШп 4х50-1кВ) </t>
  </si>
  <si>
    <t xml:space="preserve">Реконструкция КЛ-0,4  (АПВБбШп 4х70-1кВ) </t>
  </si>
  <si>
    <t xml:space="preserve">Реконструкция КЛ-0,4  (АПВБбШп 4х95-1кВ) </t>
  </si>
  <si>
    <t xml:space="preserve">Реконструкция КЛ-0,4  (АПВБбШп 4х120-1кВ) </t>
  </si>
  <si>
    <t xml:space="preserve">Реконструкция КЛ-0,4  (АПВБбШп 4х150-1кВ) </t>
  </si>
  <si>
    <t xml:space="preserve">Реконструкция КЛ-0,4  (АПВБбШп 4х185-1кВ) </t>
  </si>
  <si>
    <t xml:space="preserve">Реконструкция КЛ-0,4  (АПВБбШп 4х240-1кВ) </t>
  </si>
  <si>
    <t xml:space="preserve">Реконструкция КЛ-0,4 два кабеля в траншее (АПВБбШп 4х70-1кВ) </t>
  </si>
  <si>
    <t xml:space="preserve">Реконструкция КЛ-0,4 два кабеля в траншее (АПВБбШп 4х95-1кВ) </t>
  </si>
  <si>
    <t xml:space="preserve">Реконструкция КЛ-0,4 два кабеля в траншее (АПВБбШп 4х120-1кВ) </t>
  </si>
  <si>
    <t xml:space="preserve">Реконструкция КЛ-0,4 два кабеля в траншее (АПВБбШп 4х150-1кВ) </t>
  </si>
  <si>
    <t xml:space="preserve">Реконструкция КЛ-0,4 два кабеля в траншее (АПВБбШп 4х185-1кВ) </t>
  </si>
  <si>
    <t xml:space="preserve">Реконструкция КЛ-0,4 два кабеля в траншее (АПВБбШп 4х240-1кВ) </t>
  </si>
  <si>
    <t xml:space="preserve">Строительство 100 м КЛ-0,4 (АВБбШв 4*120 ММ2 ) </t>
  </si>
  <si>
    <t xml:space="preserve">Строительство 100 м КЛ-0,4 (АВБбШв 4*240 ММ2 ) </t>
  </si>
  <si>
    <t xml:space="preserve">Строительство 100 м КЛ-0,4  (АПВБбШп 4х120-1кВ) </t>
  </si>
  <si>
    <t xml:space="preserve">Строительство 100 м КЛ-0,4  (АПВБбШп 4х240-1кВ) </t>
  </si>
  <si>
    <t xml:space="preserve">Строительство 100 м КЛ-0,4 два кабеля в траншее (АВБШв 4*120 ММ2 ) </t>
  </si>
  <si>
    <t xml:space="preserve">Строительство 100 м КЛ-0,4 два кабеля в траншее (АВБШв 4*240 ММ2 ) </t>
  </si>
  <si>
    <t xml:space="preserve"> Строительство 100 мКЛ-0,4 два кабеля в траншее (АПВБбШп 4х120-1кВ) </t>
  </si>
  <si>
    <t xml:space="preserve"> Строительство 100 мКЛ-0,4 два кабеля в траншее (АПВБбШп 4х240-1кВ) </t>
  </si>
  <si>
    <t>Строительство 100 м КЛ-10 (АСБ 3Х120 ММ2 )</t>
  </si>
  <si>
    <t>Строительство 100 м КЛ-10 (АСБ 3Х240 ММ2 )</t>
  </si>
  <si>
    <t>Строительство 100 м КЛ-10 (АСБ 3Х120 ММ2 ) два кабеля</t>
  </si>
  <si>
    <t>Строительство 100 м КЛ-10 (АСБ 3Х240 ММ2 ) два кабеля</t>
  </si>
  <si>
    <t>Восстановление асфальтового покрова 30 м2</t>
  </si>
  <si>
    <t>Восстановление растительного покрова 1000 м2</t>
  </si>
  <si>
    <t xml:space="preserve">Строительство 100 м КЛ-10 кВ АПвПу2г 1х120/50 мм2 </t>
  </si>
  <si>
    <t xml:space="preserve">Строительство 100 м КЛ-10 кВ АПвПу2г 1х240/70 мм2 </t>
  </si>
  <si>
    <t xml:space="preserve">Строительство 100 м КЛ-10 кВ АПвПу2г 1х300/70 мм2 </t>
  </si>
  <si>
    <t xml:space="preserve">Строительство 100 м КЛ-10 кВ АПвПу2г 1х400/70 мм2 </t>
  </si>
  <si>
    <t xml:space="preserve">Строительство 100 м КЛ-10 кВ АПвПу2г 1х630/70 мм2 </t>
  </si>
  <si>
    <t>Строительство 100 м КЛ-10 кВ АПвПу2г 1х240/70 мм2 два кабеля</t>
  </si>
  <si>
    <t>Строительство 100 м КЛ-10 кВ АПвПу2г 1х300/70 мм2 два кабеля</t>
  </si>
  <si>
    <t>Строительство 100 м КЛ-10 кВ АПвПу2г 1х400/70 мм2 два кабеля</t>
  </si>
  <si>
    <t>Строительство 100 м КЛ-10 кВ АПвПу2г 1х630/70 мм2 два кабеля</t>
  </si>
  <si>
    <t>Строительство 100 м КЛ-10 кВ АПвПу2г 1х800/70 мм2 два кабеля</t>
  </si>
  <si>
    <t xml:space="preserve"> Строительство 100 м КЛ-10 кВ АПвПу2г 1х240/70 мм2 4 кабеля</t>
  </si>
  <si>
    <t xml:space="preserve"> Строительство 100 м КЛ-10 кВ АПвПу2г 1х300/70 мм2 4 кабеля</t>
  </si>
  <si>
    <t xml:space="preserve"> Строительство КЛ-10 кВ АПвПу2г 1х150/70 мм2</t>
  </si>
  <si>
    <t xml:space="preserve"> Строительство КЛ-0,4 два кабеля в траншее (АВБбШв 4*150 ММ2 ) </t>
  </si>
  <si>
    <t xml:space="preserve">Строительство КЛ-0,4 два кабеля в траншее (АСБ 4*50 ММ2 ) </t>
  </si>
  <si>
    <t xml:space="preserve"> Строительство КЛ-0,4 четыре кабеля в траншее (АПВБШп 4х240-1кВ) </t>
  </si>
  <si>
    <t>Строительство КЛ-10 кВ АПвПу2г 1х240/70 мм2 два кабеля</t>
  </si>
  <si>
    <t xml:space="preserve"> ГНБ 1 км 3 трубы 160 мм (одна-резерв) без кабеля</t>
  </si>
  <si>
    <t>Водоотлив из траншеи(1 м3)</t>
  </si>
  <si>
    <t xml:space="preserve">Строительство КЛ-0,4 два кабеля в траншее (АСБ 4*35 ММ2 ) </t>
  </si>
  <si>
    <t xml:space="preserve"> Строительство КЛ-10 кВ АПвПу2г 3х240/70 мм2 </t>
  </si>
  <si>
    <t>Строительство 1 км ВЛ-10 кВ(СИП-3 1*120)</t>
  </si>
  <si>
    <t>Строительство 100 метров ВЛ-10 кВ (СИП-3 1*95)</t>
  </si>
  <si>
    <t>Строительство 100 метров ВЛ-10 кВ (СИП-3 1*120)</t>
  </si>
  <si>
    <t>Строительство 100 метров ВЛ-10 кВ (СИП-3 1*70) с деревянными опорами.</t>
  </si>
  <si>
    <t>Строительство 1 км совместной подвески ВЛ-10 кВ и ВЛИ-0,4 кВ (СИП-3 1*70, СИП-2 3*50+1*70+1*16)</t>
  </si>
  <si>
    <t>Строительство 1 км совместной подвески ВЛ-10 кВ и ВЛИ-0,4 кВ (СИП-3 1*95, СИП-2 3*95+1*95+1*16)</t>
  </si>
  <si>
    <t>Строительство 1 км совместной подвески ВЛ-10 кВ и ВЛИ-0,4 кВ (СИП-3 1*120, СИП-2 3*95+1*95+1*16)</t>
  </si>
  <si>
    <t>Реконструкция 1 км ВЛ-10 кВ(СИП-3 1*50) с установкой дерев.опор</t>
  </si>
  <si>
    <t>Строительство 1 км ВЛ-0,4 кВ (СИП-2 3*95+1*95+1*25) (с щитами учета на вводах)</t>
  </si>
  <si>
    <t>Строительство  1 км ВЛ-0,4 (подвеска провода ) СИП 2 3*95+1*95+1*16 ММ2</t>
  </si>
  <si>
    <t>Строительство 1 км ВЛ-0,4 (подвеска провода ) сип 3*50+1*70</t>
  </si>
  <si>
    <t>Реконструкция 1 км ВЛ-0,4 кВ (СИП-2 3*95+1*95+1*25)</t>
  </si>
  <si>
    <t>Реконструкция 1 км ВЛ-10 кВ (замена 1 опоры и 1 пролета 50 м.п. СИП-3 1*95)</t>
  </si>
  <si>
    <t>Реконструкция 1 км ВЛ-10 (замена провода ) совместный подвес СИП3 1*95</t>
  </si>
  <si>
    <t>Реконструкция 1 км ВЛ-10 (замена провода ) СИП-3 1*95</t>
  </si>
  <si>
    <t>Реконструкция 1 км ВЛ-10 (подвеска провода ) СИП 3 1*95</t>
  </si>
  <si>
    <t>Устройство ответвлений (СИП 4Х16)</t>
  </si>
  <si>
    <t>Устройство ответвлений (СИП 2Х16)</t>
  </si>
  <si>
    <t>Устройство ответвлений (СИП 4х25)</t>
  </si>
  <si>
    <t>Строительство 1 км ВЛ-0,4 кВ (СИП-2 3*120+1*95)</t>
  </si>
  <si>
    <t>Реконструкция 1 км совместной подвески ВЛ-10 кВ и ВЛИ-0,4 кВ (СИП-3 1*95, СИП-2 3*95+1*95+1*16) с освещением и полной заменой опор</t>
  </si>
  <si>
    <t>Реконструкция 1 км ВЛ-0,4 (замена провода ) сип 3*50+1*50</t>
  </si>
  <si>
    <t>Реконструкция 1 км ВЛ-0,4 (замена провода ) сип 3*35+1*50+1*16</t>
  </si>
  <si>
    <t>Реконструкция 1 км ВЛ-0,4 (замена провода ) сип 3*50+1*70+1*16</t>
  </si>
  <si>
    <t>Строительство 1 км ВЛ-0,4 (подвеска провода ) сип 4 4*25</t>
  </si>
  <si>
    <t>Строительство 1 км (двуцепка)  2 ВЛ-10 кВ(СИП-3 1*95)</t>
  </si>
  <si>
    <t xml:space="preserve"> Строительство 1 км (двуцепка) 2ВЛ-0,4 кВ (СИП-2 3*120+1*95) дерев. опоры</t>
  </si>
  <si>
    <t>Строительство 100м ВЛ-0,4 кВ (СИП-2 3*95+1*95+1*25) (с щитами учета на вводах)</t>
  </si>
  <si>
    <t>Строительство 100м ВЛ-0,4 кВ (СИП-2 3*120+1*95+1*25)</t>
  </si>
  <si>
    <t>Строительство 100м. (двуцепка) 2ВЛ-0,4 кВ (СИП-2 3*95+1*95+1*25)</t>
  </si>
  <si>
    <t>Строительство 100м (двуцепка)  2 ВЛ-10 кВ(СИП-3 1*95)</t>
  </si>
  <si>
    <t>Реконструкция 100м. ВЛ-10 сип 3 1*95</t>
  </si>
  <si>
    <t>Реконструкция 100м. ВЛ-10  сип 3 1*120</t>
  </si>
  <si>
    <t>Реконструкция 100м. ВЛ-10 кВ(СИП-3 1*50) с установкой дерев.опор</t>
  </si>
  <si>
    <t>Реконструкция 100м. ВЛ-10 (замена провода ) СИП-3 1*95</t>
  </si>
  <si>
    <t>Реконструкция 100м. совместной подвески ВЛ-10 кВ и ВЛИ-0,4 кВ (СИП-3 1*95, СИП-2 3*95+1*95+1*16) с освещением и полной заменой опор</t>
  </si>
  <si>
    <t xml:space="preserve"> Реконструкция 100м. ВЛ-0,4 кВ (СИП-2 3*50+1*50+1*16)</t>
  </si>
  <si>
    <t>Реконструкция 100м. ВЛ-0,4 кВ (СИП-2 3*70+1*70+1*16)</t>
  </si>
  <si>
    <t>Реконструкция 100м. ВЛ-0,4 кВ (СИП-2 3*95+1*95+1*25)</t>
  </si>
  <si>
    <t>Реконструкция 100м. ВЛ-0,4 кВ (СИП-2 3*95+1*95+1*16)</t>
  </si>
  <si>
    <t>Реконструкция 100м. ВЛ-0,4 кВ (СИП-2 3*120+1*95)</t>
  </si>
  <si>
    <t>Строительство 1 км (двуцепка)  2 ВЛ-10 кВ(СИП-3 1*120)</t>
  </si>
  <si>
    <t>Глубинный заземлитель (20 м).</t>
  </si>
  <si>
    <t xml:space="preserve">Вырубка просеки (1 га) </t>
  </si>
  <si>
    <t>Лежневая дорога 1 км</t>
  </si>
  <si>
    <t>объем работ</t>
  </si>
  <si>
    <t>Схема размещения</t>
  </si>
  <si>
    <t>Топосъемка</t>
  </si>
  <si>
    <t>КИС</t>
  </si>
  <si>
    <t>РТН</t>
  </si>
  <si>
    <t>Итого в руб., с НДС</t>
  </si>
  <si>
    <t>руб. с НДС</t>
  </si>
  <si>
    <t>Оборудование (с НДС) (текущая)</t>
  </si>
  <si>
    <t>стоимость (без оборудования) с  НДС (текущая)</t>
  </si>
  <si>
    <t>выбор расценки</t>
  </si>
  <si>
    <t>Сумма, в ценах текущего года составления сметного расчета,  с НДС, руб.</t>
  </si>
  <si>
    <t>РД</t>
  </si>
  <si>
    <t>Сумма СМР, ПНР (без оборудования) в ценах текущего года , с НДС, руб</t>
  </si>
  <si>
    <t>коэф. Оборудование</t>
  </si>
  <si>
    <t xml:space="preserve">базисные единичные расценки, с НДС, руб </t>
  </si>
  <si>
    <t>Стоимость
(оборудования) в ценах текущего года , с НДС, руб</t>
  </si>
  <si>
    <t>Индекс пересчета сметной стоимости из базисных цен в текущие цены 2021 года</t>
  </si>
  <si>
    <t xml:space="preserve">Величина расходов на ПИР определяется в % отношении от прямых затрат в размере 10% - по объектам реконструкции; 8% - по объектам нового строительства  </t>
  </si>
  <si>
    <t>ПИР, РД</t>
  </si>
  <si>
    <t>Индексы пересчета сметной стоимости из базисных цен в текущие цены 2021 года приняты на основании письма Минстроя №46012-ИФ/09 от 25.10.2021г.,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</si>
  <si>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распоряжением ЗГД по капитальному строительству Садыховым Ю.И. СЗ №00-1034 от 14.02.2022г. и доведенных индексов пересчета сметной стоимости. Для объектов более высокого напряжения применяются  сборники и объекты-аналоги ПАО "Россети" и ПАО "ФСК ЕЭС", методические документы Минстроя России.</t>
  </si>
  <si>
    <t>Наименование расценки</t>
  </si>
  <si>
    <t>Сумма руб. с НДС 20%</t>
  </si>
  <si>
    <t>мощность</t>
  </si>
  <si>
    <r>
      <t>Индекс пересчета в прогнозные цены</t>
    </r>
    <r>
      <rPr>
        <b/>
        <sz val="8"/>
        <color theme="1"/>
        <rFont val="Times New Roman"/>
        <family val="1"/>
        <charset val="204"/>
      </rPr>
      <t xml:space="preserve"> ***</t>
    </r>
    <r>
      <rPr>
        <sz val="8"/>
        <color theme="1"/>
        <rFont val="Times New Roman"/>
        <family val="1"/>
        <charset val="204"/>
      </rPr>
      <t>***</t>
    </r>
  </si>
  <si>
    <t>Полная стоимость Инвестиционного проекта (ПИР, РД, СМР, оборудование, прочие затраты) с учетом индекса пересчета прогнозной цены, с НДС, руб.</t>
  </si>
  <si>
    <t>коммерческого учета электрической энергии (мощности) трехфазными полукосвенного включения с точкой присоединения энергопринимающих устройств в кабельном киоске 0,4 кВ/распределительном устройстве 0,4 кВ трансформаторного пункта 6(10)/0,4 кВ потребителей с нагрузкой 1000 А и выше</t>
  </si>
  <si>
    <t>ПИР без НДС</t>
  </si>
  <si>
    <t>СМР без НДС</t>
  </si>
  <si>
    <t>Оборудование без НДС</t>
  </si>
  <si>
    <t>прочибез НДС</t>
  </si>
  <si>
    <t>всего</t>
  </si>
  <si>
    <t>Раздел 2. Расчет полной стоимости инвестиционного проекта в прогнозных ценах</t>
  </si>
  <si>
    <t xml:space="preserve">всего </t>
  </si>
  <si>
    <t xml:space="preserve">СМР </t>
  </si>
  <si>
    <t xml:space="preserve">оборудование </t>
  </si>
  <si>
    <t>прочие</t>
  </si>
  <si>
    <t>без НДС</t>
  </si>
  <si>
    <t>км</t>
  </si>
  <si>
    <t>1000м2</t>
  </si>
  <si>
    <t xml:space="preserve">Сумма в прогнозных ценах 
с НДС руб </t>
  </si>
  <si>
    <t>Строительство 2БКТП-10/0,4 кВ общей мощностью 5,26 МВА, 2КЛ-10/0,4 кВ протяженностью 0,95км, 2КЛ-0,4 протяженностью 1,1 км   для технологического присоединения заявителя в соответствии с договором №06-038/005-ПС-21 в г.Луга ЛО (M_22-1-06-01-08-00-0-0004)</t>
  </si>
  <si>
    <t>M_22-1-06-01-08-00-0-0004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</si>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</sst>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₽_-;\-* #,##0.00\ _₽_-;_-* &quot;-&quot;??\ _₽_-;_-@_-"/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3">
      <alignment horizontal="left" vertical="top"/>
    </xf>
    <xf numFmtId="0" fontId="13" fillId="0" borderId="0"/>
    <xf numFmtId="0" fontId="2" fillId="0" borderId="0"/>
    <xf numFmtId="43" fontId="1" fillId="0" borderId="0" applyFont="0" applyFill="0" applyBorder="0" applyAlignment="0" applyProtection="0"/>
  </cellStyleXfs>
  <cellXfs count="154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3" xfId="0" applyFont="1" applyBorder="1" applyAlignment="1">
      <alignment horizontal="center"/>
    </xf>
    <xf numFmtId="0" fontId="10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0" fillId="0" borderId="0" xfId="0" applyFont="1"/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 vertical="top"/>
    </xf>
    <xf numFmtId="0" fontId="7" fillId="0" borderId="0" xfId="7" applyFont="1" applyFill="1" applyAlignment="1">
      <alignment horizontal="right"/>
    </xf>
    <xf numFmtId="0" fontId="8" fillId="0" borderId="3" xfId="0" applyFont="1" applyBorder="1" applyAlignment="1">
      <alignment horizontal="center" vertical="center" wrapText="1"/>
    </xf>
    <xf numFmtId="0" fontId="12" fillId="0" borderId="0" xfId="0" applyFont="1"/>
    <xf numFmtId="0" fontId="0" fillId="0" borderId="0" xfId="0" applyAlignment="1">
      <alignment horizontal="left"/>
    </xf>
    <xf numFmtId="0" fontId="2" fillId="0" borderId="0" xfId="10"/>
    <xf numFmtId="0" fontId="7" fillId="0" borderId="0" xfId="10" applyFont="1"/>
    <xf numFmtId="4" fontId="7" fillId="0" borderId="0" xfId="0" applyNumberFormat="1" applyFont="1"/>
    <xf numFmtId="0" fontId="14" fillId="0" borderId="0" xfId="9" applyFont="1" applyBorder="1" applyAlignment="1" applyProtection="1">
      <alignment horizontal="left" vertical="center" wrapText="1"/>
    </xf>
    <xf numFmtId="4" fontId="14" fillId="0" borderId="0" xfId="9" applyNumberFormat="1" applyFont="1" applyBorder="1" applyAlignment="1" applyProtection="1">
      <alignment horizontal="center" vertical="center" wrapText="1"/>
    </xf>
    <xf numFmtId="165" fontId="14" fillId="2" borderId="0" xfId="6" applyFont="1" applyFill="1" applyBorder="1" applyAlignment="1" applyProtection="1">
      <alignment horizontal="center" vertical="center" wrapText="1"/>
      <protection locked="0"/>
    </xf>
    <xf numFmtId="10" fontId="7" fillId="0" borderId="0" xfId="10" applyNumberFormat="1" applyFont="1" applyBorder="1" applyAlignment="1">
      <alignment wrapText="1"/>
    </xf>
    <xf numFmtId="165" fontId="14" fillId="0" borderId="0" xfId="6" applyFont="1" applyFill="1" applyBorder="1" applyAlignment="1" applyProtection="1">
      <alignment horizontal="center" vertical="center" wrapText="1"/>
    </xf>
    <xf numFmtId="0" fontId="7" fillId="0" borderId="0" xfId="0" applyFont="1" applyBorder="1"/>
    <xf numFmtId="0" fontId="8" fillId="0" borderId="3" xfId="0" applyNumberFormat="1" applyFont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166" fontId="14" fillId="0" borderId="0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Border="1"/>
    <xf numFmtId="0" fontId="7" fillId="0" borderId="0" xfId="0" applyFont="1" applyFill="1"/>
    <xf numFmtId="4" fontId="7" fillId="0" borderId="0" xfId="0" applyNumberFormat="1" applyFont="1" applyFill="1" applyBorder="1" applyAlignment="1">
      <alignment horizontal="center"/>
    </xf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4" fontId="15" fillId="3" borderId="3" xfId="0" applyNumberFormat="1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3" fontId="17" fillId="0" borderId="3" xfId="0" applyNumberFormat="1" applyFont="1" applyFill="1" applyBorder="1" applyAlignment="1">
      <alignment horizontal="center" vertical="center" wrapText="1"/>
    </xf>
    <xf numFmtId="10" fontId="14" fillId="0" borderId="0" xfId="9" applyNumberFormat="1" applyFont="1" applyBorder="1" applyAlignment="1" applyProtection="1">
      <alignment horizontal="center" vertical="center" wrapText="1"/>
    </xf>
    <xf numFmtId="10" fontId="16" fillId="0" borderId="0" xfId="0" applyNumberFormat="1" applyFont="1" applyAlignment="1">
      <alignment horizontal="center"/>
    </xf>
    <xf numFmtId="4" fontId="8" fillId="0" borderId="3" xfId="0" applyNumberFormat="1" applyFont="1" applyFill="1" applyBorder="1" applyAlignment="1">
      <alignment horizontal="right" vertical="center"/>
    </xf>
    <xf numFmtId="4" fontId="8" fillId="0" borderId="3" xfId="0" applyNumberFormat="1" applyFont="1" applyBorder="1" applyAlignment="1">
      <alignment horizontal="right"/>
    </xf>
    <xf numFmtId="166" fontId="7" fillId="0" borderId="3" xfId="10" applyNumberFormat="1" applyFont="1" applyBorder="1" applyAlignment="1">
      <alignment horizontal="left" vertical="center" wrapText="1"/>
    </xf>
    <xf numFmtId="4" fontId="8" fillId="0" borderId="3" xfId="0" applyNumberFormat="1" applyFont="1" applyBorder="1" applyAlignment="1">
      <alignment horizontal="right" vertical="center"/>
    </xf>
    <xf numFmtId="4" fontId="8" fillId="0" borderId="3" xfId="0" applyNumberFormat="1" applyFont="1" applyFill="1" applyBorder="1" applyAlignment="1">
      <alignment horizontal="right" vertical="center" wrapText="1"/>
    </xf>
    <xf numFmtId="4" fontId="8" fillId="0" borderId="3" xfId="0" quotePrefix="1" applyNumberFormat="1" applyFont="1" applyBorder="1" applyAlignment="1">
      <alignment horizontal="right" vertical="center"/>
    </xf>
    <xf numFmtId="0" fontId="8" fillId="0" borderId="3" xfId="0" applyFont="1" applyBorder="1"/>
    <xf numFmtId="0" fontId="8" fillId="0" borderId="2" xfId="0" applyFont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/>
    </xf>
    <xf numFmtId="4" fontId="15" fillId="0" borderId="3" xfId="0" applyNumberFormat="1" applyFont="1" applyFill="1" applyBorder="1" applyAlignment="1">
      <alignment horizontal="center" vertical="center"/>
    </xf>
    <xf numFmtId="4" fontId="15" fillId="0" borderId="3" xfId="0" applyNumberFormat="1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wrapText="1"/>
    </xf>
    <xf numFmtId="0" fontId="15" fillId="0" borderId="0" xfId="0" applyFont="1" applyFill="1"/>
    <xf numFmtId="0" fontId="15" fillId="0" borderId="0" xfId="0" applyFont="1" applyFill="1" applyAlignment="1">
      <alignment wrapText="1"/>
    </xf>
    <xf numFmtId="0" fontId="15" fillId="0" borderId="0" xfId="0" applyFont="1" applyFill="1" applyAlignment="1">
      <alignment horizontal="center" vertical="center"/>
    </xf>
    <xf numFmtId="4" fontId="15" fillId="0" borderId="0" xfId="0" applyNumberFormat="1" applyFont="1" applyFill="1" applyAlignment="1">
      <alignment horizontal="center" vertical="center"/>
    </xf>
    <xf numFmtId="0" fontId="15" fillId="3" borderId="0" xfId="0" applyFont="1" applyFill="1" applyAlignment="1">
      <alignment horizontal="center" vertical="center"/>
    </xf>
    <xf numFmtId="4" fontId="8" fillId="0" borderId="3" xfId="0" quotePrefix="1" applyNumberFormat="1" applyFont="1" applyBorder="1" applyAlignment="1">
      <alignment horizontal="right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4" fontId="0" fillId="0" borderId="3" xfId="0" applyNumberFormat="1" applyBorder="1"/>
    <xf numFmtId="0" fontId="0" fillId="0" borderId="0" xfId="0" applyFont="1" applyAlignment="1">
      <alignment horizontal="center" vertical="center" wrapText="1"/>
    </xf>
    <xf numFmtId="165" fontId="14" fillId="2" borderId="8" xfId="6" applyFont="1" applyFill="1" applyBorder="1" applyAlignment="1" applyProtection="1">
      <alignment horizontal="center" vertical="center" wrapText="1"/>
      <protection locked="0"/>
    </xf>
    <xf numFmtId="4" fontId="8" fillId="0" borderId="3" xfId="0" applyNumberFormat="1" applyFont="1" applyFill="1" applyBorder="1" applyAlignment="1">
      <alignment horizontal="center" vertical="center"/>
    </xf>
    <xf numFmtId="4" fontId="8" fillId="0" borderId="3" xfId="0" applyNumberFormat="1" applyFont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 wrapText="1"/>
    </xf>
    <xf numFmtId="4" fontId="18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3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4" fontId="17" fillId="0" borderId="3" xfId="0" applyNumberFormat="1" applyFont="1" applyBorder="1" applyAlignment="1">
      <alignment horizontal="center" vertical="center"/>
    </xf>
    <xf numFmtId="2" fontId="8" fillId="0" borderId="3" xfId="0" applyNumberFormat="1" applyFont="1" applyBorder="1" applyAlignment="1">
      <alignment horizontal="center" vertical="center"/>
    </xf>
    <xf numFmtId="3" fontId="18" fillId="0" borderId="3" xfId="0" applyNumberFormat="1" applyFont="1" applyFill="1" applyBorder="1" applyAlignment="1" applyProtection="1">
      <alignment horizontal="center" vertical="center" wrapText="1"/>
      <protection locked="0"/>
    </xf>
    <xf numFmtId="3" fontId="18" fillId="0" borderId="3" xfId="0" applyNumberFormat="1" applyFont="1" applyFill="1" applyBorder="1" applyAlignment="1" applyProtection="1">
      <alignment horizontal="center" vertical="center"/>
      <protection locked="0"/>
    </xf>
    <xf numFmtId="0" fontId="8" fillId="0" borderId="3" xfId="0" quotePrefix="1" applyFont="1" applyFill="1" applyBorder="1" applyAlignment="1">
      <alignment horizontal="left" vertical="center" wrapText="1"/>
    </xf>
    <xf numFmtId="3" fontId="12" fillId="0" borderId="3" xfId="11" applyNumberFormat="1" applyFont="1" applyFill="1" applyBorder="1" applyAlignment="1" applyProtection="1">
      <alignment horizontal="center" vertical="center"/>
      <protection locked="0"/>
    </xf>
    <xf numFmtId="4" fontId="8" fillId="0" borderId="0" xfId="0" applyNumberFormat="1" applyFont="1"/>
    <xf numFmtId="4" fontId="8" fillId="0" borderId="3" xfId="0" applyNumberFormat="1" applyFont="1" applyFill="1" applyBorder="1" applyAlignment="1">
      <alignment horizontal="center" vertical="center"/>
    </xf>
    <xf numFmtId="0" fontId="7" fillId="4" borderId="0" xfId="0" applyFont="1" applyFill="1"/>
    <xf numFmtId="0" fontId="7" fillId="4" borderId="0" xfId="0" applyFont="1" applyFill="1" applyBorder="1" applyAlignment="1">
      <alignment horizontal="center" vertical="center"/>
    </xf>
    <xf numFmtId="49" fontId="8" fillId="4" borderId="3" xfId="0" applyNumberFormat="1" applyFont="1" applyFill="1" applyBorder="1" applyAlignment="1">
      <alignment horizontal="center"/>
    </xf>
    <xf numFmtId="0" fontId="8" fillId="4" borderId="3" xfId="0" quotePrefix="1" applyFont="1" applyFill="1" applyBorder="1" applyAlignment="1">
      <alignment horizontal="left" vertical="center" wrapText="1"/>
    </xf>
    <xf numFmtId="4" fontId="8" fillId="4" borderId="3" xfId="0" quotePrefix="1" applyNumberFormat="1" applyFont="1" applyFill="1" applyBorder="1" applyAlignment="1">
      <alignment horizontal="right" vertical="center" wrapText="1"/>
    </xf>
    <xf numFmtId="4" fontId="8" fillId="4" borderId="3" xfId="0" quotePrefix="1" applyNumberFormat="1" applyFont="1" applyFill="1" applyBorder="1" applyAlignment="1">
      <alignment horizontal="right" vertical="center"/>
    </xf>
    <xf numFmtId="4" fontId="8" fillId="4" borderId="3" xfId="0" applyNumberFormat="1" applyFont="1" applyFill="1" applyBorder="1" applyAlignment="1">
      <alignment horizontal="center" vertical="center"/>
    </xf>
    <xf numFmtId="4" fontId="8" fillId="0" borderId="3" xfId="0" applyNumberFormat="1" applyFont="1" applyBorder="1" applyAlignment="1"/>
    <xf numFmtId="0" fontId="8" fillId="0" borderId="3" xfId="0" applyFont="1" applyBorder="1" applyAlignment="1">
      <alignment horizontal="right"/>
    </xf>
    <xf numFmtId="0" fontId="8" fillId="0" borderId="5" xfId="0" applyFont="1" applyBorder="1" applyAlignment="1">
      <alignment horizontal="right"/>
    </xf>
    <xf numFmtId="0" fontId="8" fillId="0" borderId="10" xfId="0" applyFont="1" applyBorder="1" applyAlignment="1">
      <alignment horizontal="right"/>
    </xf>
    <xf numFmtId="0" fontId="8" fillId="0" borderId="8" xfId="0" applyFont="1" applyBorder="1" applyAlignment="1">
      <alignment horizontal="right"/>
    </xf>
    <xf numFmtId="4" fontId="8" fillId="0" borderId="3" xfId="0" applyNumberFormat="1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8" fillId="0" borderId="3" xfId="0" quotePrefix="1" applyFont="1" applyBorder="1" applyAlignment="1">
      <alignment horizontal="right" wrapText="1"/>
    </xf>
    <xf numFmtId="0" fontId="8" fillId="0" borderId="3" xfId="0" applyFont="1" applyBorder="1" applyAlignment="1">
      <alignment horizontal="right" wrapText="1"/>
    </xf>
    <xf numFmtId="4" fontId="8" fillId="0" borderId="10" xfId="0" applyNumberFormat="1" applyFont="1" applyBorder="1" applyAlignment="1">
      <alignment horizontal="center"/>
    </xf>
    <xf numFmtId="4" fontId="8" fillId="0" borderId="8" xfId="0" applyNumberFormat="1" applyFont="1" applyBorder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8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top" wrapText="1"/>
    </xf>
    <xf numFmtId="0" fontId="10" fillId="0" borderId="5" xfId="0" applyFont="1" applyBorder="1" applyAlignment="1">
      <alignment horizontal="right" vertical="center"/>
    </xf>
    <xf numFmtId="0" fontId="10" fillId="0" borderId="10" xfId="0" applyFont="1" applyBorder="1" applyAlignment="1">
      <alignment horizontal="right" vertical="center"/>
    </xf>
    <xf numFmtId="4" fontId="8" fillId="0" borderId="5" xfId="0" applyNumberFormat="1" applyFont="1" applyFill="1" applyBorder="1" applyAlignment="1">
      <alignment horizontal="center" vertical="center"/>
    </xf>
    <xf numFmtId="4" fontId="8" fillId="0" borderId="8" xfId="0" applyNumberFormat="1" applyFont="1" applyFill="1" applyBorder="1" applyAlignment="1">
      <alignment horizontal="center" vertical="center"/>
    </xf>
    <xf numFmtId="4" fontId="8" fillId="0" borderId="6" xfId="0" applyNumberFormat="1" applyFont="1" applyFill="1" applyBorder="1" applyAlignment="1">
      <alignment horizontal="center" vertical="center"/>
    </xf>
    <xf numFmtId="4" fontId="8" fillId="0" borderId="12" xfId="0" applyNumberFormat="1" applyFont="1" applyFill="1" applyBorder="1" applyAlignment="1">
      <alignment horizontal="center" vertical="center"/>
    </xf>
    <xf numFmtId="4" fontId="8" fillId="0" borderId="11" xfId="0" applyNumberFormat="1" applyFont="1" applyFill="1" applyBorder="1" applyAlignment="1">
      <alignment horizontal="center" vertical="center"/>
    </xf>
    <xf numFmtId="4" fontId="8" fillId="0" borderId="13" xfId="0" applyNumberFormat="1" applyFont="1" applyFill="1" applyBorder="1" applyAlignment="1">
      <alignment horizontal="center" vertical="center"/>
    </xf>
    <xf numFmtId="4" fontId="8" fillId="0" borderId="7" xfId="0" applyNumberFormat="1" applyFont="1" applyFill="1" applyBorder="1" applyAlignment="1">
      <alignment horizontal="center" vertical="center"/>
    </xf>
    <xf numFmtId="4" fontId="8" fillId="0" borderId="14" xfId="0" applyNumberFormat="1" applyFont="1" applyFill="1" applyBorder="1" applyAlignment="1">
      <alignment horizontal="center" vertical="center"/>
    </xf>
    <xf numFmtId="0" fontId="17" fillId="0" borderId="10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right"/>
    </xf>
    <xf numFmtId="0" fontId="10" fillId="0" borderId="10" xfId="0" applyFont="1" applyBorder="1" applyAlignment="1">
      <alignment horizontal="right"/>
    </xf>
    <xf numFmtId="0" fontId="10" fillId="0" borderId="8" xfId="0" applyFont="1" applyBorder="1" applyAlignment="1">
      <alignment horizontal="right"/>
    </xf>
    <xf numFmtId="0" fontId="17" fillId="0" borderId="3" xfId="0" applyFont="1" applyFill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166" fontId="8" fillId="0" borderId="6" xfId="0" applyNumberFormat="1" applyFont="1" applyFill="1" applyBorder="1" applyAlignment="1">
      <alignment horizontal="center" vertical="center"/>
    </xf>
    <xf numFmtId="166" fontId="8" fillId="0" borderId="12" xfId="0" applyNumberFormat="1" applyFont="1" applyFill="1" applyBorder="1" applyAlignment="1">
      <alignment horizontal="center" vertical="center"/>
    </xf>
    <xf numFmtId="166" fontId="8" fillId="0" borderId="11" xfId="0" applyNumberFormat="1" applyFont="1" applyFill="1" applyBorder="1" applyAlignment="1">
      <alignment horizontal="center" vertical="center"/>
    </xf>
    <xf numFmtId="166" fontId="8" fillId="0" borderId="13" xfId="0" applyNumberFormat="1" applyFont="1" applyFill="1" applyBorder="1" applyAlignment="1">
      <alignment horizontal="center" vertical="center"/>
    </xf>
    <xf numFmtId="166" fontId="8" fillId="0" borderId="7" xfId="0" applyNumberFormat="1" applyFont="1" applyFill="1" applyBorder="1" applyAlignment="1">
      <alignment horizontal="center" vertical="center"/>
    </xf>
    <xf numFmtId="166" fontId="8" fillId="0" borderId="14" xfId="0" applyNumberFormat="1" applyFont="1" applyFill="1" applyBorder="1" applyAlignment="1">
      <alignment horizontal="center" vertical="center"/>
    </xf>
    <xf numFmtId="4" fontId="8" fillId="0" borderId="2" xfId="0" applyNumberFormat="1" applyFont="1" applyFill="1" applyBorder="1" applyAlignment="1">
      <alignment horizontal="center" vertical="center"/>
    </xf>
    <xf numFmtId="4" fontId="8" fillId="0" borderId="9" xfId="0" applyNumberFormat="1" applyFont="1" applyFill="1" applyBorder="1" applyAlignment="1">
      <alignment horizontal="center" vertical="center"/>
    </xf>
    <xf numFmtId="4" fontId="8" fillId="0" borderId="4" xfId="0" applyNumberFormat="1" applyFont="1" applyFill="1" applyBorder="1" applyAlignment="1">
      <alignment horizontal="center" vertical="center"/>
    </xf>
    <xf numFmtId="4" fontId="18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18" fillId="0" borderId="9" xfId="0" applyNumberFormat="1" applyFont="1" applyFill="1" applyBorder="1" applyAlignment="1" applyProtection="1">
      <alignment horizontal="center" vertical="center" wrapText="1"/>
      <protection locked="0"/>
    </xf>
    <xf numFmtId="4" fontId="18" fillId="0" borderId="4" xfId="0" applyNumberFormat="1" applyFont="1" applyFill="1" applyBorder="1" applyAlignment="1" applyProtection="1">
      <alignment horizontal="center" vertical="center" wrapText="1"/>
      <protection locked="0"/>
    </xf>
  </cellXfs>
  <cellStyles count="12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" xfId="11" builtinId="3"/>
    <cellStyle name="Финансовый 2" xfId="5" xr:uid="{00000000-0005-0000-0000-00000A000000}"/>
    <cellStyle name="Финансовый 2 2" xfId="6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8"/>
  <sheetViews>
    <sheetView tabSelected="1" view="pageBreakPreview" zoomScaleNormal="100" zoomScaleSheetLayoutView="100" workbookViewId="0"/>
  </sheetViews>
  <sheetFormatPr defaultRowHeight="15" x14ac:dyDescent="0.25"/>
  <cols>
    <col min="1" max="1" width="6.7109375" style="4" customWidth="1"/>
    <col min="2" max="2" width="33.28515625" style="2" customWidth="1"/>
    <col min="3" max="3" width="10.5703125" style="2" customWidth="1"/>
    <col min="4" max="4" width="5.5703125" style="2" customWidth="1"/>
    <col min="5" max="5" width="6" style="2" customWidth="1"/>
    <col min="6" max="6" width="5.5703125" style="2" customWidth="1"/>
    <col min="7" max="7" width="7.5703125" style="2" customWidth="1"/>
    <col min="8" max="8" width="14.7109375" style="2" customWidth="1"/>
    <col min="9" max="9" width="22.85546875" style="2" bestFit="1" customWidth="1"/>
    <col min="10" max="10" width="6.5703125" style="2" customWidth="1"/>
    <col min="11" max="11" width="13.42578125" style="2" customWidth="1"/>
    <col min="12" max="12" width="12.5703125" style="2" customWidth="1"/>
    <col min="13" max="13" width="11.5703125" style="2" customWidth="1"/>
    <col min="14" max="14" width="11.42578125" style="2" customWidth="1"/>
    <col min="15" max="15" width="16.28515625" style="2" customWidth="1"/>
    <col min="16" max="16" width="13.85546875" style="2" customWidth="1"/>
    <col min="17" max="17" width="12.140625" style="2" hidden="1" customWidth="1"/>
    <col min="18" max="18" width="13.140625" style="2" hidden="1" customWidth="1"/>
    <col min="19" max="19" width="11" style="2" hidden="1" customWidth="1"/>
    <col min="20" max="20" width="17.42578125" style="2" hidden="1" customWidth="1"/>
    <col min="21" max="21" width="11.28515625" style="2" hidden="1" customWidth="1"/>
    <col min="22" max="16384" width="9.140625" style="2"/>
  </cols>
  <sheetData>
    <row r="1" spans="1:22" x14ac:dyDescent="0.25">
      <c r="M1" s="18"/>
      <c r="P1" s="18" t="s">
        <v>26</v>
      </c>
    </row>
    <row r="3" spans="1:22" x14ac:dyDescent="0.25">
      <c r="A3" s="1" t="s">
        <v>12</v>
      </c>
      <c r="K3" s="89"/>
    </row>
    <row r="4" spans="1:22" ht="10.5" customHeight="1" x14ac:dyDescent="0.25">
      <c r="K4" s="89"/>
    </row>
    <row r="5" spans="1:22" ht="72" customHeight="1" x14ac:dyDescent="0.25">
      <c r="A5" s="109" t="s">
        <v>376</v>
      </c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</row>
    <row r="6" spans="1:22" x14ac:dyDescent="0.25">
      <c r="K6" s="89"/>
    </row>
    <row r="7" spans="1:22" ht="16.5" customHeight="1" x14ac:dyDescent="0.25">
      <c r="A7" s="7" t="s">
        <v>8</v>
      </c>
      <c r="C7" s="120" t="s">
        <v>377</v>
      </c>
      <c r="D7" s="120"/>
      <c r="E7" s="120"/>
      <c r="F7" s="120"/>
      <c r="G7" s="120"/>
      <c r="H7" s="120"/>
      <c r="I7" s="120"/>
      <c r="J7" s="120"/>
      <c r="K7" s="120"/>
      <c r="L7" s="120"/>
      <c r="M7" s="120"/>
      <c r="N7" s="120"/>
      <c r="O7" s="120"/>
      <c r="P7" s="120"/>
    </row>
    <row r="8" spans="1:22" ht="21" customHeight="1" x14ac:dyDescent="0.25">
      <c r="A8" s="7"/>
      <c r="H8" s="44"/>
      <c r="I8" s="44"/>
      <c r="J8" s="44"/>
      <c r="K8" s="90"/>
      <c r="M8" s="38"/>
    </row>
    <row r="9" spans="1:22" x14ac:dyDescent="0.25">
      <c r="A9" s="7" t="s">
        <v>11</v>
      </c>
      <c r="H9" s="111" t="s">
        <v>92</v>
      </c>
      <c r="I9" s="111"/>
      <c r="J9" s="111"/>
      <c r="K9" s="111"/>
      <c r="L9" s="36"/>
      <c r="M9" s="38"/>
    </row>
    <row r="10" spans="1:22" ht="9" customHeight="1" x14ac:dyDescent="0.25">
      <c r="A10" s="8"/>
      <c r="K10" s="36"/>
      <c r="L10" s="36"/>
      <c r="M10" s="36"/>
    </row>
    <row r="11" spans="1:22" x14ac:dyDescent="0.25">
      <c r="A11" s="9" t="s">
        <v>13</v>
      </c>
      <c r="B11" s="5"/>
      <c r="C11" s="5"/>
      <c r="D11" s="5"/>
      <c r="E11" s="5"/>
      <c r="F11" s="5"/>
      <c r="G11" s="5"/>
      <c r="H11" s="5"/>
      <c r="I11" s="5"/>
      <c r="J11" s="5"/>
      <c r="K11" s="36"/>
      <c r="L11" s="36"/>
      <c r="M11" s="36"/>
    </row>
    <row r="12" spans="1:22" x14ac:dyDescent="0.25">
      <c r="K12" s="36"/>
      <c r="L12" s="36"/>
      <c r="M12" s="36"/>
    </row>
    <row r="13" spans="1:22" s="4" customFormat="1" ht="40.5" customHeight="1" x14ac:dyDescent="0.25">
      <c r="A13" s="110" t="s">
        <v>9</v>
      </c>
      <c r="B13" s="110" t="s">
        <v>14</v>
      </c>
      <c r="C13" s="112" t="s">
        <v>349</v>
      </c>
      <c r="D13" s="114" t="s">
        <v>351</v>
      </c>
      <c r="E13" s="115"/>
      <c r="F13" s="115"/>
      <c r="G13" s="116"/>
      <c r="H13" s="112" t="s">
        <v>347</v>
      </c>
      <c r="I13" s="112" t="s">
        <v>350</v>
      </c>
      <c r="J13" s="110" t="s">
        <v>10</v>
      </c>
      <c r="K13" s="108" t="s">
        <v>335</v>
      </c>
      <c r="L13" s="19" t="s">
        <v>341</v>
      </c>
      <c r="M13" s="19" t="s">
        <v>341</v>
      </c>
      <c r="N13" s="19" t="s">
        <v>341</v>
      </c>
      <c r="O13" s="19" t="s">
        <v>341</v>
      </c>
      <c r="P13" s="108" t="s">
        <v>340</v>
      </c>
      <c r="Q13" s="32"/>
    </row>
    <row r="14" spans="1:22" ht="36.75" customHeight="1" x14ac:dyDescent="0.25">
      <c r="A14" s="110"/>
      <c r="B14" s="110"/>
      <c r="C14" s="113"/>
      <c r="D14" s="57" t="s">
        <v>108</v>
      </c>
      <c r="E14" s="57" t="s">
        <v>110</v>
      </c>
      <c r="F14" s="57" t="s">
        <v>112</v>
      </c>
      <c r="G14" s="57" t="s">
        <v>348</v>
      </c>
      <c r="H14" s="113"/>
      <c r="I14" s="113"/>
      <c r="J14" s="110"/>
      <c r="K14" s="108"/>
      <c r="L14" s="19" t="s">
        <v>1</v>
      </c>
      <c r="M14" s="19" t="s">
        <v>346</v>
      </c>
      <c r="N14" s="19" t="s">
        <v>2</v>
      </c>
      <c r="O14" s="19" t="s">
        <v>3</v>
      </c>
      <c r="P14" s="108"/>
      <c r="Q14" s="46" t="s">
        <v>336</v>
      </c>
      <c r="R14" s="46" t="s">
        <v>337</v>
      </c>
      <c r="S14" s="46" t="s">
        <v>338</v>
      </c>
      <c r="T14" s="46" t="s">
        <v>339</v>
      </c>
      <c r="U14" s="29"/>
      <c r="V14" s="22"/>
    </row>
    <row r="15" spans="1:22" ht="15.75" x14ac:dyDescent="0.25">
      <c r="A15" s="10" t="s">
        <v>15</v>
      </c>
      <c r="B15" s="11" t="s">
        <v>16</v>
      </c>
      <c r="C15" s="117"/>
      <c r="D15" s="118"/>
      <c r="E15" s="118"/>
      <c r="F15" s="118"/>
      <c r="G15" s="118"/>
      <c r="H15" s="118"/>
      <c r="I15" s="118"/>
      <c r="J15" s="118"/>
      <c r="K15" s="118"/>
      <c r="L15" s="118"/>
      <c r="M15" s="118"/>
      <c r="N15" s="118"/>
      <c r="O15" s="118"/>
      <c r="P15" s="119"/>
      <c r="Q15" s="47">
        <v>10200</v>
      </c>
      <c r="R15" s="47">
        <v>71400</v>
      </c>
      <c r="S15" s="47">
        <v>35700</v>
      </c>
      <c r="T15" s="47">
        <v>30000</v>
      </c>
      <c r="U15" s="27"/>
      <c r="V15" s="23"/>
    </row>
    <row r="16" spans="1:22" ht="24" customHeight="1" x14ac:dyDescent="0.25">
      <c r="A16" s="12"/>
      <c r="B16" s="85" t="s">
        <v>87</v>
      </c>
      <c r="C16" s="70">
        <f>VLOOKUP($B$16:$B$26,'Наименование работ'!B:H,7,)</f>
        <v>2988655.7519999999</v>
      </c>
      <c r="D16" s="70">
        <f>VLOOKUP($B$16:$B$26,'Наименование работ'!B:K,10,)</f>
        <v>14.41</v>
      </c>
      <c r="E16" s="70">
        <f>VLOOKUP($B$16:$B$26,'Наименование работ'!B:M,12,)</f>
        <v>7.8</v>
      </c>
      <c r="F16" s="70">
        <f>VLOOKUP($B$16:$B$26,'Наименование работ'!B:O,14,)</f>
        <v>6.45</v>
      </c>
      <c r="G16" s="70">
        <f>VLOOKUP($B$16:$B$26,'Наименование работ'!B:Q,16,)</f>
        <v>5.71</v>
      </c>
      <c r="H16" s="55">
        <f>VLOOKUP($B$16:$B$26,'Наименование работ'!B:J,9,)</f>
        <v>5399267.8600799982</v>
      </c>
      <c r="I16" s="55">
        <v>14962000.007999999</v>
      </c>
      <c r="J16" s="76" t="s">
        <v>94</v>
      </c>
      <c r="K16" s="75">
        <v>1</v>
      </c>
      <c r="L16" s="50">
        <f>(N16+I16)*0.05</f>
        <v>1018063.393404</v>
      </c>
      <c r="M16" s="50">
        <f t="shared" ref="M16" si="0">IF(K16="0","0",IF(K16&gt;0,($Q$15+$R$15+$S$15+$T$15),0))</f>
        <v>147300</v>
      </c>
      <c r="N16" s="53">
        <f t="shared" ref="N16:N18" si="1">K16*H16</f>
        <v>5399267.8600799982</v>
      </c>
      <c r="O16" s="53">
        <f>I16</f>
        <v>14962000.007999999</v>
      </c>
      <c r="P16" s="53">
        <f t="shared" ref="P16:P17" si="2">SUM(L16:O16)</f>
        <v>21526631.261483997</v>
      </c>
      <c r="Q16" s="56"/>
      <c r="R16" s="56"/>
      <c r="S16" s="56"/>
      <c r="T16" s="56"/>
      <c r="U16" s="27"/>
      <c r="V16" s="23"/>
    </row>
    <row r="17" spans="1:22" ht="24" customHeight="1" x14ac:dyDescent="0.25">
      <c r="A17" s="12"/>
      <c r="B17" s="85" t="s">
        <v>85</v>
      </c>
      <c r="C17" s="70">
        <f>VLOOKUP($B$16:$B$26,'Наименование работ'!B:H,7,)</f>
        <v>2670816.61</v>
      </c>
      <c r="D17" s="70">
        <f>VLOOKUP($B$16:$B$26,'Наименование работ'!B:K,10,)</f>
        <v>14.41</v>
      </c>
      <c r="E17" s="70">
        <f>VLOOKUP($B$16:$B$26,'Наименование работ'!B:M,12,)</f>
        <v>6.77</v>
      </c>
      <c r="F17" s="70">
        <f>VLOOKUP($B$16:$B$26,'Наименование работ'!B:O,14,)</f>
        <v>3.02</v>
      </c>
      <c r="G17" s="70">
        <f>VLOOKUP($B$16:$B$26,'Наименование работ'!B:Q,16,)</f>
        <v>0</v>
      </c>
      <c r="H17" s="55">
        <f>VLOOKUP($B$16:$B$26,'Наименование работ'!B:J,9,)</f>
        <v>13617604.105799999</v>
      </c>
      <c r="I17" s="55">
        <f>VLOOKUP($B$16:$B$26,'Наименование работ'!B:S,18,)</f>
        <v>0</v>
      </c>
      <c r="J17" s="76" t="s">
        <v>373</v>
      </c>
      <c r="K17" s="88">
        <v>1.1200000000000001</v>
      </c>
      <c r="L17" s="50">
        <f>(N17+I17)*0.05</f>
        <v>762585.82992480008</v>
      </c>
      <c r="M17" s="50">
        <f>IF(K17="0","0",IF(K17&gt;0,($Q$15+$R$15+$S$15+$T$15),0))*3</f>
        <v>441900</v>
      </c>
      <c r="N17" s="53">
        <f t="shared" si="1"/>
        <v>15251716.598496001</v>
      </c>
      <c r="O17" s="53">
        <v>0</v>
      </c>
      <c r="P17" s="53">
        <f t="shared" si="2"/>
        <v>16456202.428420801</v>
      </c>
      <c r="Q17" s="35"/>
      <c r="R17" s="35"/>
      <c r="S17" s="35"/>
      <c r="T17" s="35"/>
      <c r="U17" s="27"/>
      <c r="V17" s="23"/>
    </row>
    <row r="18" spans="1:22" ht="24" customHeight="1" x14ac:dyDescent="0.25">
      <c r="A18" s="12"/>
      <c r="B18" s="85" t="s">
        <v>268</v>
      </c>
      <c r="C18" s="70">
        <f>VLOOKUP($B$16:$B$26,'Наименование работ'!B:H,7,)</f>
        <v>59787.551999999996</v>
      </c>
      <c r="D18" s="70">
        <f>VLOOKUP($B$16:$B$26,'Наименование работ'!B:K,10,)</f>
        <v>14.41</v>
      </c>
      <c r="E18" s="70">
        <f>VLOOKUP($B$16:$B$26,'Наименование работ'!B:M,12,)</f>
        <v>6.77</v>
      </c>
      <c r="F18" s="70">
        <f>VLOOKUP($B$16:$B$26,'Наименование работ'!B:O,14,)</f>
        <v>3.02</v>
      </c>
      <c r="G18" s="70">
        <f>VLOOKUP($B$16:$B$26,'Наименование работ'!B:Q,16,)</f>
        <v>0</v>
      </c>
      <c r="H18" s="55">
        <f>VLOOKUP($B$16:$B$26,'Наименование работ'!B:J,9,)</f>
        <v>676098.0571199999</v>
      </c>
      <c r="I18" s="55">
        <f>VLOOKUP($B$16:$B$26,'Наименование работ'!B:S,18,)</f>
        <v>0</v>
      </c>
      <c r="J18" s="76" t="s">
        <v>374</v>
      </c>
      <c r="K18" s="88">
        <v>1</v>
      </c>
      <c r="L18" s="50">
        <f t="shared" ref="L18" si="3">(N18+I18)*0.05</f>
        <v>33804.902855999993</v>
      </c>
      <c r="M18" s="50">
        <v>0</v>
      </c>
      <c r="N18" s="53">
        <f t="shared" si="1"/>
        <v>676098.0571199999</v>
      </c>
      <c r="O18" s="53">
        <v>0</v>
      </c>
      <c r="P18" s="53">
        <f t="shared" ref="P18" si="4">SUM(L18:O18)</f>
        <v>709902.9599759999</v>
      </c>
      <c r="Q18" s="35"/>
      <c r="R18" s="35"/>
      <c r="S18" s="35"/>
      <c r="T18" s="35"/>
      <c r="U18" s="27"/>
      <c r="V18" s="23"/>
    </row>
    <row r="19" spans="1:22" ht="24" customHeight="1" x14ac:dyDescent="0.25">
      <c r="A19" s="91"/>
      <c r="B19" s="92" t="s">
        <v>79</v>
      </c>
      <c r="C19" s="93">
        <f>VLOOKUP($B$16:$B$26,'Наименование работ'!B:H,7,)</f>
        <v>858758.97599999991</v>
      </c>
      <c r="D19" s="93">
        <f>VLOOKUP($B$16:$B$26,'Наименование работ'!B:K,10,)</f>
        <v>14.41</v>
      </c>
      <c r="E19" s="93">
        <f>VLOOKUP($B$16:$B$26,'Наименование работ'!B:M,12,)</f>
        <v>6.77</v>
      </c>
      <c r="F19" s="93">
        <f>VLOOKUP($B$16:$B$26,'Наименование работ'!B:O,14,)</f>
        <v>3.02</v>
      </c>
      <c r="G19" s="93">
        <f>VLOOKUP($B$16:$B$26,'Наименование работ'!B:Q,16,)</f>
        <v>0</v>
      </c>
      <c r="H19" s="94">
        <f>VLOOKUP($B$16:$B$26,'Наименование работ'!B:J,9,)</f>
        <v>5173518.7591199987</v>
      </c>
      <c r="I19" s="94">
        <f>VLOOKUP($B$16:$B$26,'Наименование работ'!B:S,18,)</f>
        <v>0</v>
      </c>
      <c r="J19" s="95" t="s">
        <v>373</v>
      </c>
      <c r="K19" s="95">
        <v>0.13</v>
      </c>
      <c r="L19" s="50">
        <f>(N19+I19)*0.05</f>
        <v>33627.871934279996</v>
      </c>
      <c r="M19" s="50">
        <f t="shared" ref="M19" si="5">IF(K19="0","0",IF(K19&gt;0,($Q$15+$R$15+$S$15+$T$15),0))</f>
        <v>147300</v>
      </c>
      <c r="N19" s="53">
        <f t="shared" ref="N19" si="6">K19*H19</f>
        <v>672557.43868559983</v>
      </c>
      <c r="O19" s="53">
        <v>0</v>
      </c>
      <c r="P19" s="53">
        <f t="shared" ref="P19" si="7">SUM(L19:O19)</f>
        <v>853485.31061987986</v>
      </c>
      <c r="Q19" s="35"/>
      <c r="R19" s="35"/>
      <c r="S19" s="35"/>
      <c r="T19" s="35"/>
      <c r="U19" s="27"/>
      <c r="V19" s="23"/>
    </row>
    <row r="20" spans="1:22" ht="24" customHeight="1" x14ac:dyDescent="0.25">
      <c r="A20" s="91"/>
      <c r="B20" s="92" t="s">
        <v>204</v>
      </c>
      <c r="C20" s="93">
        <f>VLOOKUP($B$16:$B$26,'Наименование работ'!B:H,7,)</f>
        <v>1482427.04</v>
      </c>
      <c r="D20" s="93">
        <f>VLOOKUP($B$16:$B$26,'Наименование работ'!B:K,10,)</f>
        <v>14.41</v>
      </c>
      <c r="E20" s="93">
        <f>VLOOKUP($B$16:$B$26,'Наименование работ'!B:M,12,)</f>
        <v>6.77</v>
      </c>
      <c r="F20" s="93">
        <f>VLOOKUP($B$16:$B$26,'Наименование работ'!B:O,14,)</f>
        <v>3.02</v>
      </c>
      <c r="G20" s="93">
        <f>VLOOKUP($B$16:$B$26,'Наименование работ'!B:Q,16,)</f>
        <v>0</v>
      </c>
      <c r="H20" s="94">
        <f>VLOOKUP($B$16:$B$26,'Наименование работ'!B:J,9,)</f>
        <v>7485578.1012000013</v>
      </c>
      <c r="I20" s="94">
        <f>VLOOKUP($B$16:$B$26,'Наименование работ'!B:S,18,)</f>
        <v>0</v>
      </c>
      <c r="J20" s="95" t="s">
        <v>373</v>
      </c>
      <c r="K20" s="95">
        <v>0.38</v>
      </c>
      <c r="L20" s="50">
        <f>(N20+I20)*0.05</f>
        <v>142225.98392280002</v>
      </c>
      <c r="M20" s="50">
        <f>IF(K20="0","0",IF(K20&gt;0,($Q$15+$R$15+$S$15+$T$15),0))*4</f>
        <v>589200</v>
      </c>
      <c r="N20" s="53">
        <f t="shared" ref="N20:N21" si="8">K20*H20</f>
        <v>2844519.6784560005</v>
      </c>
      <c r="O20" s="53">
        <v>0</v>
      </c>
      <c r="P20" s="53">
        <f t="shared" ref="P20" si="9">SUM(L20:O20)</f>
        <v>3575945.6623788006</v>
      </c>
      <c r="Q20" s="35"/>
      <c r="R20" s="35"/>
      <c r="S20" s="35"/>
      <c r="T20" s="35"/>
      <c r="U20" s="27"/>
      <c r="V20" s="23"/>
    </row>
    <row r="21" spans="1:22" ht="24" customHeight="1" x14ac:dyDescent="0.25">
      <c r="A21" s="91"/>
      <c r="B21" s="92" t="s">
        <v>80</v>
      </c>
      <c r="C21" s="93">
        <f>VLOOKUP($B$16:$B$26,'Наименование работ'!B:H,7,)</f>
        <v>1041341.148</v>
      </c>
      <c r="D21" s="93">
        <f>VLOOKUP($B$16:$B$26,'Наименование работ'!B:K,10,)</f>
        <v>14.41</v>
      </c>
      <c r="E21" s="93">
        <f>VLOOKUP($B$16:$B$26,'Наименование работ'!B:M,12,)</f>
        <v>6.77</v>
      </c>
      <c r="F21" s="93">
        <f>VLOOKUP($B$16:$B$26,'Наименование работ'!B:O,14,)</f>
        <v>3.02</v>
      </c>
      <c r="G21" s="93">
        <f>VLOOKUP($B$16:$B$26,'Наименование работ'!B:Q,16,)</f>
        <v>0</v>
      </c>
      <c r="H21" s="94">
        <f>VLOOKUP($B$16:$B$26,'Наименование работ'!B:J,9,)</f>
        <v>5764129.0437600007</v>
      </c>
      <c r="I21" s="94">
        <f>VLOOKUP($B$16:$B$26,'Наименование работ'!B:S,18,)</f>
        <v>0</v>
      </c>
      <c r="J21" s="95" t="s">
        <v>373</v>
      </c>
      <c r="K21" s="95">
        <v>0.2</v>
      </c>
      <c r="L21" s="50">
        <f>(N21+I21)*0.05</f>
        <v>57641.290437600008</v>
      </c>
      <c r="M21" s="50">
        <f t="shared" ref="M21" si="10">IF(K21="0","0",IF(K21&gt;0,($Q$15+$R$15+$S$15+$T$15),0))</f>
        <v>147300</v>
      </c>
      <c r="N21" s="53">
        <f t="shared" si="8"/>
        <v>1152825.8087520001</v>
      </c>
      <c r="O21" s="53">
        <v>0</v>
      </c>
      <c r="P21" s="53">
        <f t="shared" ref="P21" si="11">SUM(L21:O21)</f>
        <v>1357767.0991896</v>
      </c>
      <c r="Q21" s="35"/>
      <c r="R21" s="35"/>
      <c r="S21" s="35"/>
      <c r="T21" s="35"/>
      <c r="U21" s="27"/>
      <c r="V21" s="23"/>
    </row>
    <row r="22" spans="1:22" ht="24" customHeight="1" x14ac:dyDescent="0.25">
      <c r="A22" s="12"/>
      <c r="B22" s="85" t="s">
        <v>141</v>
      </c>
      <c r="C22" s="70">
        <f>VLOOKUP($B$16:$B$26,'Наименование работ'!B:H,7,)</f>
        <v>2040601.92</v>
      </c>
      <c r="D22" s="70">
        <f>VLOOKUP($B$16:$B$26,'Наименование работ'!B:K,10,)</f>
        <v>14.41</v>
      </c>
      <c r="E22" s="70">
        <f>VLOOKUP($B$16:$B$26,'Наименование работ'!B:M,12,)</f>
        <v>7.8</v>
      </c>
      <c r="F22" s="70">
        <f>VLOOKUP($B$16:$B$26,'Наименование работ'!B:O,14,)</f>
        <v>6.45</v>
      </c>
      <c r="G22" s="70">
        <f>VLOOKUP($B$16:$B$26,'Наименование работ'!B:Q,16,)</f>
        <v>5.71</v>
      </c>
      <c r="H22" s="55">
        <f>VLOOKUP($B$16:$B$26,'Наименование работ'!B:J,9,)</f>
        <v>5308680.5818799995</v>
      </c>
      <c r="I22" s="55">
        <f>VLOOKUP($B$16:$B$26,'Наименование работ'!B:S,18,)</f>
        <v>9353871.0340800006</v>
      </c>
      <c r="J22" s="76" t="s">
        <v>94</v>
      </c>
      <c r="K22" s="88">
        <v>1</v>
      </c>
      <c r="L22" s="50">
        <f>(N22+I22)*0.05</f>
        <v>733127.5807980001</v>
      </c>
      <c r="M22" s="50">
        <f t="shared" ref="M22:M24" si="12">IF(K22="0","0",IF(K22&gt;0,($Q$15+$R$15+$S$15+$T$15),0))</f>
        <v>147300</v>
      </c>
      <c r="N22" s="53">
        <f t="shared" ref="N22:N24" si="13">K22*H22</f>
        <v>5308680.5818799995</v>
      </c>
      <c r="O22" s="53">
        <f>I22</f>
        <v>9353871.0340800006</v>
      </c>
      <c r="P22" s="53">
        <f t="shared" ref="P22:P24" si="14">SUM(L22:O22)</f>
        <v>15542979.196758</v>
      </c>
      <c r="Q22" s="35"/>
      <c r="R22" s="35"/>
      <c r="S22" s="35"/>
      <c r="T22" s="35"/>
      <c r="U22" s="27"/>
      <c r="V22" s="23"/>
    </row>
    <row r="23" spans="1:22" ht="24" customHeight="1" x14ac:dyDescent="0.25">
      <c r="A23" s="12"/>
      <c r="B23" s="85" t="s">
        <v>286</v>
      </c>
      <c r="C23" s="70">
        <f>VLOOKUP($B$16:$B$26,'Наименование работ'!B:H,7,)</f>
        <v>1599132.132</v>
      </c>
      <c r="D23" s="70">
        <f>VLOOKUP($B$16:$B$26,'Наименование работ'!B:K,10,)</f>
        <v>14.41</v>
      </c>
      <c r="E23" s="70">
        <f>VLOOKUP($B$16:$B$26,'Наименование работ'!B:M,12,)</f>
        <v>6.77</v>
      </c>
      <c r="F23" s="70">
        <f>VLOOKUP($B$16:$B$26,'Наименование работ'!B:O,14,)</f>
        <v>3.02</v>
      </c>
      <c r="G23" s="70">
        <f>VLOOKUP($B$16:$B$26,'Наименование работ'!B:Q,16,)</f>
        <v>0</v>
      </c>
      <c r="H23" s="55">
        <f>VLOOKUP($B$16:$B$26,'Наименование работ'!B:J,9,)</f>
        <v>11473193.593320003</v>
      </c>
      <c r="I23" s="55">
        <f>VLOOKUP($B$16:$B$26,'Наименование работ'!B:S,18,)</f>
        <v>0</v>
      </c>
      <c r="J23" s="76" t="s">
        <v>373</v>
      </c>
      <c r="K23" s="88">
        <v>0.12</v>
      </c>
      <c r="L23" s="50">
        <f t="shared" ref="L23" si="15">(N23+I23)*0.05</f>
        <v>68839.161559920016</v>
      </c>
      <c r="M23" s="50">
        <v>0</v>
      </c>
      <c r="N23" s="53">
        <f t="shared" si="13"/>
        <v>1376783.2311984003</v>
      </c>
      <c r="O23" s="53">
        <v>0</v>
      </c>
      <c r="P23" s="53">
        <f t="shared" ref="P23" si="16">SUM(L23:O23)</f>
        <v>1445622.3927583203</v>
      </c>
      <c r="Q23" s="35"/>
      <c r="R23" s="35"/>
      <c r="S23" s="35"/>
      <c r="T23" s="35"/>
      <c r="U23" s="27"/>
      <c r="V23" s="23"/>
    </row>
    <row r="24" spans="1:22" ht="24" customHeight="1" x14ac:dyDescent="0.25">
      <c r="A24" s="12"/>
      <c r="B24" s="85" t="s">
        <v>87</v>
      </c>
      <c r="C24" s="70">
        <f>VLOOKUP($B$16:$B$26,'Наименование работ'!B:H,7,)</f>
        <v>2988655.7519999999</v>
      </c>
      <c r="D24" s="70">
        <f>VLOOKUP($B$16:$B$26,'Наименование работ'!B:K,10,)</f>
        <v>14.41</v>
      </c>
      <c r="E24" s="70">
        <f>VLOOKUP($B$16:$B$26,'Наименование работ'!B:M,12,)</f>
        <v>7.8</v>
      </c>
      <c r="F24" s="70">
        <f>VLOOKUP($B$16:$B$26,'Наименование работ'!B:O,14,)</f>
        <v>6.45</v>
      </c>
      <c r="G24" s="70">
        <f>VLOOKUP($B$16:$B$26,'Наименование работ'!B:Q,16,)</f>
        <v>5.71</v>
      </c>
      <c r="H24" s="55">
        <f>VLOOKUP($B$16:$B$26,'Наименование работ'!B:J,9,)</f>
        <v>5399267.8600799982</v>
      </c>
      <c r="I24" s="55">
        <f>VLOOKUP($B$16:$B$26,'Наименование работ'!B:S,18,)</f>
        <v>14731276.8498</v>
      </c>
      <c r="J24" s="76" t="s">
        <v>94</v>
      </c>
      <c r="K24" s="88">
        <v>1</v>
      </c>
      <c r="L24" s="50">
        <f>(N24+I24)*0.05</f>
        <v>1006527.2354939999</v>
      </c>
      <c r="M24" s="50">
        <f t="shared" si="12"/>
        <v>147300</v>
      </c>
      <c r="N24" s="53">
        <f t="shared" si="13"/>
        <v>5399267.8600799982</v>
      </c>
      <c r="O24" s="53">
        <f>I24</f>
        <v>14731276.8498</v>
      </c>
      <c r="P24" s="53">
        <f t="shared" si="14"/>
        <v>21284371.945373997</v>
      </c>
      <c r="Q24" s="35"/>
      <c r="R24" s="35"/>
      <c r="S24" s="35"/>
      <c r="T24" s="35"/>
      <c r="U24" s="27"/>
      <c r="V24" s="23"/>
    </row>
    <row r="25" spans="1:22" ht="24" customHeight="1" x14ac:dyDescent="0.25">
      <c r="A25" s="12"/>
      <c r="B25" s="85" t="s">
        <v>81</v>
      </c>
      <c r="C25" s="70">
        <f>VLOOKUP($B$16:$B$26,'Наименование работ'!B:H,7,)</f>
        <v>1255213.08</v>
      </c>
      <c r="D25" s="70">
        <f>VLOOKUP($B$16:$B$26,'Наименование работ'!B:K,10,)</f>
        <v>14.41</v>
      </c>
      <c r="E25" s="70">
        <f>VLOOKUP($B$16:$B$26,'Наименование работ'!B:M,12,)</f>
        <v>6.77</v>
      </c>
      <c r="F25" s="70">
        <f>VLOOKUP($B$16:$B$26,'Наименование работ'!B:O,14,)</f>
        <v>3.02</v>
      </c>
      <c r="G25" s="70">
        <f>VLOOKUP($B$16:$B$26,'Наименование работ'!B:Q,16,)</f>
        <v>0</v>
      </c>
      <c r="H25" s="55">
        <f>VLOOKUP($B$16:$B$26,'Наименование работ'!B:J,9,)</f>
        <v>6592273.0305600008</v>
      </c>
      <c r="I25" s="55">
        <f>VLOOKUP($B$16:$B$26,'Наименование работ'!B:S,18,)</f>
        <v>0</v>
      </c>
      <c r="J25" s="76" t="s">
        <v>373</v>
      </c>
      <c r="K25" s="88">
        <v>0.16</v>
      </c>
      <c r="L25" s="50">
        <f>(N25+I25)*0.05</f>
        <v>52738.184244480013</v>
      </c>
      <c r="M25" s="50">
        <f>IF(K25="0","0",IF(K25&gt;0,($Q$15+$R$15+$S$15+$T$15),0))*2</f>
        <v>294600</v>
      </c>
      <c r="N25" s="53">
        <f t="shared" ref="N25" si="17">K25*H25</f>
        <v>1054763.6848896001</v>
      </c>
      <c r="O25" s="53">
        <v>0</v>
      </c>
      <c r="P25" s="53">
        <f t="shared" ref="P25" si="18">SUM(L25:O25)</f>
        <v>1402101.8691340801</v>
      </c>
      <c r="Q25" s="35"/>
      <c r="R25" s="35"/>
      <c r="S25" s="35"/>
      <c r="T25" s="35"/>
      <c r="U25" s="27"/>
      <c r="V25" s="23"/>
    </row>
    <row r="26" spans="1:22" ht="15.75" x14ac:dyDescent="0.25">
      <c r="A26" s="13"/>
      <c r="B26" s="62"/>
      <c r="C26" s="70"/>
      <c r="D26" s="70"/>
      <c r="E26" s="70"/>
      <c r="F26" s="70"/>
      <c r="G26" s="70"/>
      <c r="H26" s="55"/>
      <c r="I26" s="55"/>
      <c r="J26" s="76"/>
      <c r="K26" s="75"/>
      <c r="L26" s="50">
        <f t="shared" ref="L26" si="19">(N26+I26)*0.08</f>
        <v>0</v>
      </c>
      <c r="M26" s="50">
        <f t="shared" ref="M26" si="20">IF(K26="0","0",IF(K26&gt;0,($Q$15+$R$15+$S$15+$T$15),0))</f>
        <v>0</v>
      </c>
      <c r="N26" s="53">
        <f t="shared" ref="N26" si="21">K26*H26</f>
        <v>0</v>
      </c>
      <c r="O26" s="53">
        <f t="shared" ref="O26" si="22">I26</f>
        <v>0</v>
      </c>
      <c r="P26" s="53">
        <f t="shared" ref="P26" si="23">SUM(L26:O26)</f>
        <v>0</v>
      </c>
      <c r="Q26" s="30"/>
      <c r="S26" s="25"/>
      <c r="T26" s="26"/>
      <c r="U26" s="27"/>
      <c r="V26" s="23"/>
    </row>
    <row r="27" spans="1:22" ht="24" customHeight="1" x14ac:dyDescent="0.25">
      <c r="A27" s="10"/>
      <c r="B27" s="98" t="s">
        <v>346</v>
      </c>
      <c r="C27" s="99"/>
      <c r="D27" s="99"/>
      <c r="E27" s="99"/>
      <c r="F27" s="99"/>
      <c r="G27" s="99"/>
      <c r="H27" s="99"/>
      <c r="I27" s="99"/>
      <c r="J27" s="99"/>
      <c r="K27" s="99"/>
      <c r="L27" s="99"/>
      <c r="M27" s="99"/>
      <c r="N27" s="99"/>
      <c r="O27" s="100"/>
      <c r="P27" s="53">
        <f>SUM(M16:M26)</f>
        <v>2062200</v>
      </c>
    </row>
    <row r="28" spans="1:22" x14ac:dyDescent="0.25">
      <c r="A28" s="10"/>
      <c r="B28" s="98" t="s">
        <v>2</v>
      </c>
      <c r="C28" s="99"/>
      <c r="D28" s="99"/>
      <c r="E28" s="99"/>
      <c r="F28" s="99"/>
      <c r="G28" s="99"/>
      <c r="H28" s="99"/>
      <c r="I28" s="99"/>
      <c r="J28" s="99"/>
      <c r="K28" s="99"/>
      <c r="L28" s="99"/>
      <c r="M28" s="99"/>
      <c r="N28" s="99"/>
      <c r="O28" s="100"/>
      <c r="P28" s="54">
        <f>SUM(N16:N26)</f>
        <v>39136480.799637601</v>
      </c>
    </row>
    <row r="29" spans="1:22" x14ac:dyDescent="0.25">
      <c r="A29" s="10"/>
      <c r="B29" s="98" t="s">
        <v>3</v>
      </c>
      <c r="C29" s="99"/>
      <c r="D29" s="99"/>
      <c r="E29" s="99"/>
      <c r="F29" s="99"/>
      <c r="G29" s="99"/>
      <c r="H29" s="99"/>
      <c r="I29" s="99"/>
      <c r="J29" s="99"/>
      <c r="K29" s="99"/>
      <c r="L29" s="99"/>
      <c r="M29" s="99"/>
      <c r="N29" s="99"/>
      <c r="O29" s="100"/>
      <c r="P29" s="54">
        <f>SUM(O16:O26)</f>
        <v>39047147.891879998</v>
      </c>
    </row>
    <row r="30" spans="1:22" x14ac:dyDescent="0.25">
      <c r="A30" s="10"/>
      <c r="B30" s="98" t="s">
        <v>21</v>
      </c>
      <c r="C30" s="99"/>
      <c r="D30" s="99"/>
      <c r="E30" s="99"/>
      <c r="F30" s="99"/>
      <c r="G30" s="99"/>
      <c r="H30" s="99"/>
      <c r="I30" s="99"/>
      <c r="J30" s="99"/>
      <c r="K30" s="99"/>
      <c r="L30" s="99"/>
      <c r="M30" s="99"/>
      <c r="N30" s="99"/>
      <c r="O30" s="100"/>
      <c r="P30" s="54">
        <f>SUM(L16:L26)</f>
        <v>3909181.4345758799</v>
      </c>
      <c r="Q30" s="45"/>
      <c r="R30" s="45"/>
    </row>
    <row r="31" spans="1:22" x14ac:dyDescent="0.25">
      <c r="A31" s="10"/>
      <c r="B31" s="137" t="s">
        <v>17</v>
      </c>
      <c r="C31" s="138"/>
      <c r="D31" s="138"/>
      <c r="E31" s="138"/>
      <c r="F31" s="138"/>
      <c r="G31" s="138"/>
      <c r="H31" s="138"/>
      <c r="I31" s="138"/>
      <c r="J31" s="138"/>
      <c r="K31" s="138"/>
      <c r="L31" s="138"/>
      <c r="M31" s="138"/>
      <c r="N31" s="138"/>
      <c r="O31" s="139"/>
      <c r="P31" s="51">
        <f>SUM(P27:P30)</f>
        <v>84155010.126093477</v>
      </c>
    </row>
    <row r="32" spans="1:22" ht="7.5" customHeight="1" x14ac:dyDescent="0.25">
      <c r="A32" s="41"/>
      <c r="B32" s="42"/>
      <c r="C32" s="42"/>
      <c r="D32" s="42"/>
      <c r="E32" s="42"/>
      <c r="F32" s="42"/>
      <c r="G32" s="42"/>
      <c r="H32" s="42"/>
      <c r="I32" s="42"/>
      <c r="J32" s="43"/>
      <c r="K32" s="37"/>
      <c r="L32" s="37"/>
      <c r="M32" s="37"/>
      <c r="N32" s="24"/>
      <c r="O32" s="24"/>
    </row>
    <row r="33" spans="1:21" x14ac:dyDescent="0.25">
      <c r="A33" s="5" t="s">
        <v>367</v>
      </c>
      <c r="B33" s="3"/>
      <c r="C33" s="3"/>
      <c r="D33" s="3"/>
      <c r="E33" s="3"/>
      <c r="F33" s="3"/>
      <c r="G33" s="3"/>
      <c r="H33" s="3"/>
      <c r="I33" s="3"/>
      <c r="J33" s="3"/>
      <c r="K33" s="36"/>
      <c r="L33" s="36"/>
      <c r="M33" s="36"/>
    </row>
    <row r="34" spans="1:21" ht="9" customHeight="1" x14ac:dyDescent="0.25">
      <c r="A34" s="14"/>
      <c r="B34" s="3"/>
      <c r="C34" s="3"/>
      <c r="D34" s="3"/>
      <c r="E34" s="3"/>
      <c r="F34" s="3"/>
      <c r="G34" s="3"/>
      <c r="H34" s="3"/>
      <c r="I34" s="3"/>
      <c r="J34" s="3"/>
      <c r="K34" s="36"/>
      <c r="L34" s="36"/>
      <c r="M34" s="36"/>
    </row>
    <row r="35" spans="1:21" ht="90.75" customHeight="1" x14ac:dyDescent="0.25">
      <c r="A35" s="46" t="s">
        <v>9</v>
      </c>
      <c r="B35" s="141" t="s">
        <v>0</v>
      </c>
      <c r="C35" s="141"/>
      <c r="D35" s="141"/>
      <c r="E35" s="141"/>
      <c r="F35" s="133" t="s">
        <v>345</v>
      </c>
      <c r="G35" s="133"/>
      <c r="H35" s="134"/>
      <c r="I35" s="102" t="s">
        <v>359</v>
      </c>
      <c r="J35" s="103"/>
      <c r="K35" s="140" t="s">
        <v>375</v>
      </c>
      <c r="L35" s="140"/>
      <c r="M35" s="102" t="s">
        <v>360</v>
      </c>
      <c r="N35" s="103"/>
      <c r="O35" s="77"/>
      <c r="P35" s="77"/>
    </row>
    <row r="36" spans="1:21" ht="14.25" customHeight="1" x14ac:dyDescent="0.25">
      <c r="A36" s="31">
        <v>1</v>
      </c>
      <c r="B36" s="97" t="s">
        <v>353</v>
      </c>
      <c r="C36" s="97"/>
      <c r="D36" s="97"/>
      <c r="E36" s="97"/>
      <c r="F36" s="135">
        <f>P30+P27</f>
        <v>5971381.4345758799</v>
      </c>
      <c r="G36" s="135"/>
      <c r="H36" s="136"/>
      <c r="I36" s="142">
        <f>VLOOKUP(H9,Q36:R39,2,)</f>
        <v>1.117309428</v>
      </c>
      <c r="J36" s="143"/>
      <c r="K36" s="101">
        <f>F36*$I$36</f>
        <v>6671880.7750357958</v>
      </c>
      <c r="L36" s="101"/>
      <c r="M36" s="127">
        <f t="shared" ref="M36" si="24">SUM(I45+K45)</f>
        <v>107350838.51573092</v>
      </c>
      <c r="N36" s="128"/>
      <c r="O36" s="148"/>
      <c r="P36" s="151"/>
      <c r="Q36" s="74" t="s">
        <v>90</v>
      </c>
      <c r="R36" s="52">
        <v>1.0369999999999999</v>
      </c>
    </row>
    <row r="37" spans="1:21" ht="14.25" customHeight="1" x14ac:dyDescent="0.25">
      <c r="A37" s="31">
        <v>2</v>
      </c>
      <c r="B37" s="97" t="s">
        <v>2</v>
      </c>
      <c r="C37" s="97"/>
      <c r="D37" s="97"/>
      <c r="E37" s="97"/>
      <c r="F37" s="106">
        <f>P28</f>
        <v>39136480.799637601</v>
      </c>
      <c r="G37" s="106"/>
      <c r="H37" s="107"/>
      <c r="I37" s="144"/>
      <c r="J37" s="145"/>
      <c r="K37" s="101">
        <f>F37*$I$36</f>
        <v>43727558.976176068</v>
      </c>
      <c r="L37" s="101"/>
      <c r="M37" s="129"/>
      <c r="N37" s="130"/>
      <c r="O37" s="149"/>
      <c r="P37" s="152"/>
      <c r="Q37" s="74" t="s">
        <v>91</v>
      </c>
      <c r="R37" s="52">
        <v>1.076406</v>
      </c>
    </row>
    <row r="38" spans="1:21" ht="14.25" customHeight="1" x14ac:dyDescent="0.25">
      <c r="A38" s="31">
        <v>3</v>
      </c>
      <c r="B38" s="97" t="s">
        <v>3</v>
      </c>
      <c r="C38" s="97"/>
      <c r="D38" s="97"/>
      <c r="E38" s="97"/>
      <c r="F38" s="106">
        <f>SUM(I16:I26)</f>
        <v>39047147.891879998</v>
      </c>
      <c r="G38" s="106"/>
      <c r="H38" s="107"/>
      <c r="I38" s="144"/>
      <c r="J38" s="145"/>
      <c r="K38" s="101">
        <f>P29*I36</f>
        <v>43627746.476107843</v>
      </c>
      <c r="L38" s="101"/>
      <c r="M38" s="129"/>
      <c r="N38" s="130"/>
      <c r="O38" s="149"/>
      <c r="P38" s="152"/>
      <c r="Q38" s="74" t="s">
        <v>92</v>
      </c>
      <c r="R38" s="52">
        <v>1.117309428</v>
      </c>
    </row>
    <row r="39" spans="1:21" ht="14.25" customHeight="1" x14ac:dyDescent="0.25">
      <c r="A39" s="31">
        <v>4</v>
      </c>
      <c r="B39" s="97" t="s">
        <v>7</v>
      </c>
      <c r="C39" s="97"/>
      <c r="D39" s="97"/>
      <c r="E39" s="97"/>
      <c r="F39" s="106">
        <f>SUM(F40:H44)</f>
        <v>13323652.288411204</v>
      </c>
      <c r="G39" s="106"/>
      <c r="H39" s="107"/>
      <c r="I39" s="144"/>
      <c r="J39" s="145"/>
      <c r="K39" s="101">
        <f>F39</f>
        <v>13323652.288411204</v>
      </c>
      <c r="L39" s="101"/>
      <c r="M39" s="129"/>
      <c r="N39" s="130"/>
      <c r="O39" s="149"/>
      <c r="P39" s="152"/>
      <c r="Q39" s="74" t="s">
        <v>93</v>
      </c>
      <c r="R39" s="52">
        <v>1.159767186264</v>
      </c>
    </row>
    <row r="40" spans="1:21" ht="14.25" customHeight="1" x14ac:dyDescent="0.25">
      <c r="A40" s="12" t="s">
        <v>95</v>
      </c>
      <c r="B40" s="97" t="s">
        <v>4</v>
      </c>
      <c r="C40" s="97"/>
      <c r="D40" s="97"/>
      <c r="E40" s="97"/>
      <c r="F40" s="106">
        <f>$K$56*Q40</f>
        <v>760053.08867083432</v>
      </c>
      <c r="G40" s="106"/>
      <c r="H40" s="107"/>
      <c r="I40" s="144"/>
      <c r="J40" s="145"/>
      <c r="K40" s="127"/>
      <c r="L40" s="128"/>
      <c r="M40" s="129"/>
      <c r="N40" s="130"/>
      <c r="O40" s="149"/>
      <c r="P40" s="152"/>
      <c r="Q40" s="48">
        <v>9.7000000000000003E-3</v>
      </c>
      <c r="R40" s="28"/>
    </row>
    <row r="41" spans="1:21" ht="14.25" customHeight="1" x14ac:dyDescent="0.25">
      <c r="A41" s="12" t="s">
        <v>96</v>
      </c>
      <c r="B41" s="104" t="s">
        <v>27</v>
      </c>
      <c r="C41" s="104"/>
      <c r="D41" s="104"/>
      <c r="E41" s="104"/>
      <c r="F41" s="106">
        <f t="shared" ref="F41:F42" si="25">$K$56*Q41</f>
        <v>1676818.1543872014</v>
      </c>
      <c r="G41" s="106"/>
      <c r="H41" s="107"/>
      <c r="I41" s="144"/>
      <c r="J41" s="145"/>
      <c r="K41" s="129"/>
      <c r="L41" s="130"/>
      <c r="M41" s="129"/>
      <c r="N41" s="130"/>
      <c r="O41" s="149"/>
      <c r="P41" s="152"/>
      <c r="Q41" s="48">
        <v>2.1399999999999999E-2</v>
      </c>
      <c r="R41" s="28"/>
    </row>
    <row r="42" spans="1:21" ht="14.25" customHeight="1" x14ac:dyDescent="0.25">
      <c r="A42" s="12" t="s">
        <v>97</v>
      </c>
      <c r="B42" s="104" t="s">
        <v>28</v>
      </c>
      <c r="C42" s="104"/>
      <c r="D42" s="104"/>
      <c r="E42" s="104"/>
      <c r="F42" s="106">
        <f t="shared" si="25"/>
        <v>6613245.4313214868</v>
      </c>
      <c r="G42" s="106"/>
      <c r="H42" s="107"/>
      <c r="I42" s="144"/>
      <c r="J42" s="145"/>
      <c r="K42" s="129"/>
      <c r="L42" s="130"/>
      <c r="M42" s="129"/>
      <c r="N42" s="130"/>
      <c r="O42" s="149"/>
      <c r="P42" s="152"/>
      <c r="Q42" s="48">
        <v>8.4400000000000003E-2</v>
      </c>
      <c r="R42" s="28"/>
    </row>
    <row r="43" spans="1:21" ht="14.25" customHeight="1" x14ac:dyDescent="0.25">
      <c r="A43" s="12" t="s">
        <v>98</v>
      </c>
      <c r="B43" s="105" t="s">
        <v>6</v>
      </c>
      <c r="C43" s="105"/>
      <c r="D43" s="105"/>
      <c r="E43" s="105"/>
      <c r="F43" s="106">
        <f>$K$56*Q43</f>
        <v>2233145.6728988434</v>
      </c>
      <c r="G43" s="106"/>
      <c r="H43" s="107"/>
      <c r="I43" s="144"/>
      <c r="J43" s="145"/>
      <c r="K43" s="129"/>
      <c r="L43" s="130"/>
      <c r="M43" s="129"/>
      <c r="N43" s="130"/>
      <c r="O43" s="149"/>
      <c r="P43" s="152"/>
      <c r="Q43" s="48">
        <v>2.8500000000000001E-2</v>
      </c>
      <c r="R43" s="28"/>
    </row>
    <row r="44" spans="1:21" ht="14.25" customHeight="1" x14ac:dyDescent="0.25">
      <c r="A44" s="12" t="s">
        <v>99</v>
      </c>
      <c r="B44" s="97" t="s">
        <v>5</v>
      </c>
      <c r="C44" s="97"/>
      <c r="D44" s="97"/>
      <c r="E44" s="97"/>
      <c r="F44" s="106">
        <f>K57*Q44</f>
        <v>2040389.9411328379</v>
      </c>
      <c r="G44" s="106"/>
      <c r="H44" s="107"/>
      <c r="I44" s="146"/>
      <c r="J44" s="147"/>
      <c r="K44" s="131"/>
      <c r="L44" s="132"/>
      <c r="M44" s="131"/>
      <c r="N44" s="132"/>
      <c r="O44" s="150"/>
      <c r="P44" s="153"/>
      <c r="Q44" s="49">
        <v>2.1700000000000001E-2</v>
      </c>
    </row>
    <row r="45" spans="1:21" ht="14.25" customHeight="1" x14ac:dyDescent="0.25">
      <c r="A45" s="123" t="s">
        <v>100</v>
      </c>
      <c r="B45" s="124"/>
      <c r="C45" s="124"/>
      <c r="D45" s="124"/>
      <c r="E45" s="124"/>
      <c r="F45" s="124"/>
      <c r="G45" s="124"/>
      <c r="H45" s="124"/>
      <c r="I45" s="124"/>
      <c r="J45" s="124"/>
      <c r="K45" s="101">
        <f>SUM(K36:L39)</f>
        <v>107350838.51573092</v>
      </c>
      <c r="L45" s="101"/>
      <c r="M45" s="125">
        <f t="shared" ref="M45" si="26">M36</f>
        <v>107350838.51573092</v>
      </c>
      <c r="N45" s="126"/>
      <c r="O45" s="71"/>
      <c r="P45" s="78"/>
      <c r="Q45" s="79" t="s">
        <v>358</v>
      </c>
      <c r="R45" s="82"/>
      <c r="S45" s="83"/>
      <c r="T45" s="84"/>
    </row>
    <row r="46" spans="1:21" ht="16.5" customHeight="1" x14ac:dyDescent="0.25">
      <c r="N46" s="33"/>
      <c r="O46" s="33"/>
      <c r="P46" s="34"/>
      <c r="Q46" s="80" t="s">
        <v>366</v>
      </c>
      <c r="R46" s="81" t="s">
        <v>362</v>
      </c>
      <c r="S46" s="81" t="s">
        <v>363</v>
      </c>
      <c r="T46" s="81" t="s">
        <v>364</v>
      </c>
      <c r="U46" s="81" t="s">
        <v>365</v>
      </c>
    </row>
    <row r="47" spans="1:21" s="3" customFormat="1" ht="16.5" customHeight="1" x14ac:dyDescent="0.2">
      <c r="A47" s="14" t="s">
        <v>18</v>
      </c>
      <c r="B47" s="14"/>
      <c r="C47" s="14"/>
      <c r="D47" s="14"/>
      <c r="E47" s="14"/>
      <c r="F47" s="14"/>
      <c r="G47" s="14"/>
      <c r="H47" s="14"/>
      <c r="I47" s="14"/>
      <c r="Q47" s="76">
        <f>SUM(R47:U47)</f>
        <v>142561.6087961283</v>
      </c>
      <c r="R47" s="76">
        <f>(K36-K36*20/120)/1000</f>
        <v>5559.9006458631629</v>
      </c>
      <c r="S47" s="76">
        <f>(K37-K37*20/120)/1000</f>
        <v>36439.63248014672</v>
      </c>
      <c r="T47" s="76">
        <f>(M45-M45*20/120)/1000</f>
        <v>89459.032096442432</v>
      </c>
      <c r="U47" s="76">
        <f>(F39-F39*20/120)/1000</f>
        <v>11103.043573676003</v>
      </c>
    </row>
    <row r="48" spans="1:21" s="16" customFormat="1" ht="42" customHeight="1" x14ac:dyDescent="0.25">
      <c r="A48" s="15" t="s">
        <v>19</v>
      </c>
      <c r="B48" s="121" t="s">
        <v>355</v>
      </c>
      <c r="C48" s="121"/>
      <c r="D48" s="121"/>
      <c r="E48" s="121"/>
      <c r="F48" s="121"/>
      <c r="G48" s="121"/>
      <c r="H48" s="121"/>
      <c r="I48" s="121"/>
      <c r="J48" s="121"/>
      <c r="K48" s="121"/>
      <c r="L48" s="121"/>
      <c r="M48" s="121"/>
      <c r="N48" s="121"/>
      <c r="O48" s="121"/>
      <c r="P48" s="121"/>
      <c r="Q48" s="76">
        <f>1.2*Q47</f>
        <v>171073.93055535396</v>
      </c>
      <c r="R48" s="76">
        <f t="shared" ref="R48:T48" si="27">1.2*R47</f>
        <v>6671.8807750357955</v>
      </c>
      <c r="S48" s="76">
        <f t="shared" si="27"/>
        <v>43727.558976176064</v>
      </c>
      <c r="T48" s="76">
        <f t="shared" si="27"/>
        <v>107350.83851573091</v>
      </c>
      <c r="U48" s="76">
        <f>1.2*U47</f>
        <v>13323.652288411204</v>
      </c>
    </row>
    <row r="49" spans="1:21" s="16" customFormat="1" ht="30" customHeight="1" x14ac:dyDescent="0.25">
      <c r="A49" s="15" t="s">
        <v>20</v>
      </c>
      <c r="B49" s="122" t="s">
        <v>354</v>
      </c>
      <c r="C49" s="122"/>
      <c r="D49" s="122"/>
      <c r="E49" s="122"/>
      <c r="F49" s="122"/>
      <c r="G49" s="122"/>
      <c r="H49" s="122"/>
      <c r="I49" s="122"/>
      <c r="J49" s="122"/>
      <c r="K49" s="122"/>
      <c r="L49" s="122"/>
      <c r="M49" s="122"/>
      <c r="N49" s="122"/>
      <c r="O49" s="122"/>
      <c r="P49" s="122"/>
      <c r="Q49" s="2" t="s">
        <v>368</v>
      </c>
      <c r="R49" s="2" t="s">
        <v>1</v>
      </c>
      <c r="S49" s="2" t="s">
        <v>369</v>
      </c>
      <c r="T49" s="2" t="s">
        <v>370</v>
      </c>
      <c r="U49" s="2" t="s">
        <v>371</v>
      </c>
    </row>
    <row r="50" spans="1:21" s="16" customFormat="1" ht="17.25" customHeight="1" x14ac:dyDescent="0.25">
      <c r="A50" s="15" t="s">
        <v>22</v>
      </c>
      <c r="B50" s="121" t="s">
        <v>352</v>
      </c>
      <c r="C50" s="121"/>
      <c r="D50" s="121"/>
      <c r="E50" s="121"/>
      <c r="F50" s="121"/>
      <c r="G50" s="121"/>
      <c r="H50" s="121"/>
      <c r="I50" s="121"/>
      <c r="J50" s="121"/>
      <c r="K50" s="121"/>
      <c r="L50" s="121"/>
      <c r="M50" s="121"/>
      <c r="N50" s="121"/>
      <c r="O50" s="121"/>
      <c r="P50" s="121"/>
      <c r="Q50" s="86"/>
      <c r="R50" s="86"/>
      <c r="S50" s="86"/>
      <c r="T50" s="86"/>
      <c r="U50" s="86"/>
    </row>
    <row r="51" spans="1:21" s="3" customFormat="1" ht="16.5" customHeight="1" x14ac:dyDescent="0.2">
      <c r="A51" s="15" t="s">
        <v>23</v>
      </c>
      <c r="B51" s="16" t="s">
        <v>378</v>
      </c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Q51" s="87">
        <f>1.2*Q50</f>
        <v>0</v>
      </c>
      <c r="R51" s="87">
        <f t="shared" ref="R51:U51" si="28">1.2*R50</f>
        <v>0</v>
      </c>
      <c r="S51" s="87">
        <f t="shared" si="28"/>
        <v>0</v>
      </c>
      <c r="T51" s="87">
        <f t="shared" si="28"/>
        <v>0</v>
      </c>
      <c r="U51" s="87">
        <f t="shared" si="28"/>
        <v>0</v>
      </c>
    </row>
    <row r="52" spans="1:21" s="3" customFormat="1" ht="15.75" customHeight="1" x14ac:dyDescent="0.2">
      <c r="A52" s="17" t="s">
        <v>24</v>
      </c>
      <c r="B52" s="16" t="s">
        <v>379</v>
      </c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Q52" s="16"/>
      <c r="R52" s="16"/>
      <c r="S52" s="16"/>
      <c r="T52" s="16"/>
      <c r="U52" s="16"/>
    </row>
    <row r="53" spans="1:21" s="3" customFormat="1" ht="18.75" customHeight="1" x14ac:dyDescent="0.2">
      <c r="A53" s="17" t="s">
        <v>25</v>
      </c>
      <c r="B53" s="16" t="s">
        <v>29</v>
      </c>
      <c r="C53" s="16"/>
      <c r="D53" s="16"/>
      <c r="E53" s="16"/>
      <c r="F53" s="16"/>
      <c r="G53" s="16"/>
      <c r="H53" s="16"/>
      <c r="I53" s="16"/>
      <c r="J53" s="16"/>
      <c r="Q53" s="16"/>
      <c r="R53" s="87"/>
      <c r="S53" s="34"/>
      <c r="T53" s="33"/>
      <c r="U53" s="33"/>
    </row>
    <row r="54" spans="1:21" s="3" customFormat="1" ht="12.75" hidden="1" x14ac:dyDescent="0.2">
      <c r="A54" s="6"/>
      <c r="I54" s="97" t="s">
        <v>372</v>
      </c>
      <c r="J54" s="97"/>
      <c r="K54" s="96">
        <v>41999533.126009889</v>
      </c>
      <c r="L54" s="96"/>
      <c r="M54" s="96">
        <v>36356455.396756537</v>
      </c>
      <c r="N54" s="96"/>
      <c r="Q54" s="3">
        <v>89534.496684452897</v>
      </c>
      <c r="R54" s="3">
        <v>5563.0481905859669</v>
      </c>
      <c r="S54" s="3">
        <v>36502.583374602764</v>
      </c>
      <c r="T54" s="3">
        <v>36356.455396756537</v>
      </c>
      <c r="U54" s="3">
        <v>11112.409722507646</v>
      </c>
    </row>
    <row r="55" spans="1:21" hidden="1" x14ac:dyDescent="0.25">
      <c r="B55" s="16"/>
      <c r="C55" s="16"/>
      <c r="D55" s="16"/>
      <c r="E55" s="16"/>
      <c r="F55" s="16"/>
      <c r="G55" s="16"/>
      <c r="H55" s="16"/>
      <c r="I55" s="16"/>
    </row>
    <row r="56" spans="1:21" hidden="1" x14ac:dyDescent="0.25">
      <c r="K56" s="24">
        <v>78355988.522766426</v>
      </c>
      <c r="Q56" s="2" t="s">
        <v>366</v>
      </c>
      <c r="R56" s="2" t="s">
        <v>362</v>
      </c>
      <c r="S56" s="2" t="s">
        <v>363</v>
      </c>
      <c r="T56" s="2" t="s">
        <v>364</v>
      </c>
      <c r="U56" s="2" t="s">
        <v>365</v>
      </c>
    </row>
    <row r="57" spans="1:21" hidden="1" x14ac:dyDescent="0.25">
      <c r="H57" s="2">
        <v>13323652.288411204</v>
      </c>
      <c r="K57" s="24">
        <v>94027186.227319717</v>
      </c>
      <c r="Q57" s="2">
        <v>89459.032096442417</v>
      </c>
      <c r="R57" s="2">
        <v>5559.9006458631629</v>
      </c>
      <c r="S57" s="2">
        <v>36439.63248014672</v>
      </c>
      <c r="T57" s="2">
        <v>36356.455396756537</v>
      </c>
      <c r="U57" s="2">
        <v>11103.043573676003</v>
      </c>
    </row>
    <row r="58" spans="1:21" hidden="1" x14ac:dyDescent="0.25">
      <c r="Q58" s="2">
        <v>107350.83851573089</v>
      </c>
      <c r="R58" s="2">
        <v>6671.8807750357955</v>
      </c>
      <c r="S58" s="2">
        <v>43727.558976176064</v>
      </c>
      <c r="T58" s="2">
        <v>43627.746476107845</v>
      </c>
      <c r="U58" s="2">
        <v>13323.652288411204</v>
      </c>
    </row>
  </sheetData>
  <dataConsolidate>
    <dataRefs count="1">
      <dataRef ref="B8:B287" sheet="Наименование работ"/>
    </dataRefs>
  </dataConsolidate>
  <mergeCells count="57">
    <mergeCell ref="P36:P44"/>
    <mergeCell ref="K40:L44"/>
    <mergeCell ref="K39:L39"/>
    <mergeCell ref="F39:H39"/>
    <mergeCell ref="B31:O31"/>
    <mergeCell ref="K35:L35"/>
    <mergeCell ref="B35:E35"/>
    <mergeCell ref="B36:E36"/>
    <mergeCell ref="B37:E37"/>
    <mergeCell ref="K36:L36"/>
    <mergeCell ref="K37:L37"/>
    <mergeCell ref="I35:J35"/>
    <mergeCell ref="I36:J44"/>
    <mergeCell ref="O36:O44"/>
    <mergeCell ref="C15:P15"/>
    <mergeCell ref="C7:P7"/>
    <mergeCell ref="B50:P50"/>
    <mergeCell ref="F40:H40"/>
    <mergeCell ref="F41:H41"/>
    <mergeCell ref="F42:H42"/>
    <mergeCell ref="F43:H43"/>
    <mergeCell ref="F44:H44"/>
    <mergeCell ref="B44:E44"/>
    <mergeCell ref="B48:P48"/>
    <mergeCell ref="B49:P49"/>
    <mergeCell ref="A45:J45"/>
    <mergeCell ref="M45:N45"/>
    <mergeCell ref="M36:N44"/>
    <mergeCell ref="B38:E38"/>
    <mergeCell ref="B39:E39"/>
    <mergeCell ref="P13:P14"/>
    <mergeCell ref="A5:M5"/>
    <mergeCell ref="A13:A14"/>
    <mergeCell ref="B13:B14"/>
    <mergeCell ref="J13:J14"/>
    <mergeCell ref="K13:K14"/>
    <mergeCell ref="H9:K9"/>
    <mergeCell ref="C13:C14"/>
    <mergeCell ref="H13:H14"/>
    <mergeCell ref="I13:I14"/>
    <mergeCell ref="D13:G13"/>
    <mergeCell ref="I54:J54"/>
    <mergeCell ref="B27:O27"/>
    <mergeCell ref="K45:L45"/>
    <mergeCell ref="M35:N35"/>
    <mergeCell ref="K38:L38"/>
    <mergeCell ref="B40:E40"/>
    <mergeCell ref="B41:E41"/>
    <mergeCell ref="B42:E42"/>
    <mergeCell ref="B43:E43"/>
    <mergeCell ref="B28:O28"/>
    <mergeCell ref="B29:O29"/>
    <mergeCell ref="B30:O30"/>
    <mergeCell ref="F38:H38"/>
    <mergeCell ref="F35:H35"/>
    <mergeCell ref="F36:H36"/>
    <mergeCell ref="F37:H37"/>
  </mergeCells>
  <pageMargins left="0.70866141732283472" right="0.70866141732283472" top="0.74803149606299213" bottom="0.74803149606299213" header="0.31496062992125984" footer="0.31496062992125984"/>
  <pageSetup paperSize="9" scale="4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pageSetUpPr fitToPage="1"/>
  </sheetPr>
  <dimension ref="A1:T283"/>
  <sheetViews>
    <sheetView view="pageBreakPreview" zoomScaleNormal="100" zoomScaleSheetLayoutView="100" workbookViewId="0">
      <pane ySplit="1" topLeftCell="A2" activePane="bottomLeft" state="frozen"/>
      <selection pane="bottomLeft" activeCell="B188" sqref="B188"/>
    </sheetView>
  </sheetViews>
  <sheetFormatPr defaultColWidth="9.5703125" defaultRowHeight="15" x14ac:dyDescent="0.25"/>
  <cols>
    <col min="1" max="1" width="8" style="65" customWidth="1"/>
    <col min="2" max="2" width="122.42578125" style="66" customWidth="1"/>
    <col min="3" max="3" width="12.7109375" style="67" hidden="1" customWidth="1"/>
    <col min="4" max="4" width="11.42578125" style="67" hidden="1" customWidth="1"/>
    <col min="5" max="5" width="12.140625" style="67" hidden="1" customWidth="1"/>
    <col min="6" max="6" width="13.7109375" style="67" hidden="1" customWidth="1"/>
    <col min="7" max="7" width="11.42578125" style="67" hidden="1" customWidth="1"/>
    <col min="8" max="8" width="12.42578125" style="67" hidden="1" customWidth="1"/>
    <col min="9" max="9" width="13.42578125" style="67" hidden="1" customWidth="1"/>
    <col min="10" max="10" width="15.5703125" style="67" hidden="1" customWidth="1"/>
    <col min="11" max="11" width="8.7109375" style="69" hidden="1" customWidth="1"/>
    <col min="12" max="12" width="14.140625" style="67" hidden="1" customWidth="1"/>
    <col min="13" max="13" width="9.42578125" style="69" hidden="1" customWidth="1"/>
    <col min="14" max="14" width="11.42578125" style="67" hidden="1" customWidth="1"/>
    <col min="15" max="15" width="8.140625" style="69" hidden="1" customWidth="1"/>
    <col min="16" max="16" width="12.42578125" style="67" hidden="1" customWidth="1"/>
    <col min="17" max="17" width="12.28515625" style="69" hidden="1" customWidth="1"/>
    <col min="18" max="18" width="13.28515625" style="67" hidden="1" customWidth="1"/>
    <col min="19" max="19" width="14.28515625" style="68" hidden="1" customWidth="1"/>
    <col min="20" max="20" width="14.140625" hidden="1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20" ht="54" customHeight="1" x14ac:dyDescent="0.25">
      <c r="A1" s="61" t="s">
        <v>9</v>
      </c>
      <c r="B1" s="61" t="s">
        <v>356</v>
      </c>
      <c r="C1" s="60" t="s">
        <v>101</v>
      </c>
      <c r="D1" s="60" t="s">
        <v>102</v>
      </c>
      <c r="E1" s="60" t="s">
        <v>103</v>
      </c>
      <c r="F1" s="60" t="s">
        <v>104</v>
      </c>
      <c r="G1" s="60" t="s">
        <v>105</v>
      </c>
      <c r="H1" s="60" t="s">
        <v>106</v>
      </c>
      <c r="I1" s="60" t="s">
        <v>107</v>
      </c>
      <c r="J1" s="60" t="s">
        <v>343</v>
      </c>
      <c r="K1" s="39" t="s">
        <v>108</v>
      </c>
      <c r="L1" s="60" t="s">
        <v>109</v>
      </c>
      <c r="M1" s="39" t="s">
        <v>110</v>
      </c>
      <c r="N1" s="60" t="s">
        <v>111</v>
      </c>
      <c r="O1" s="39" t="s">
        <v>112</v>
      </c>
      <c r="P1" s="61" t="s">
        <v>113</v>
      </c>
      <c r="Q1" s="40" t="s">
        <v>114</v>
      </c>
      <c r="R1" s="61" t="s">
        <v>115</v>
      </c>
      <c r="S1" s="60" t="s">
        <v>342</v>
      </c>
      <c r="T1" s="73" t="s">
        <v>357</v>
      </c>
    </row>
    <row r="2" spans="1:20" ht="10.5" customHeight="1" x14ac:dyDescent="0.25">
      <c r="A2" s="62"/>
      <c r="B2" s="62"/>
      <c r="C2" s="60"/>
      <c r="D2" s="60"/>
      <c r="E2" s="60"/>
      <c r="F2" s="60"/>
      <c r="G2" s="60"/>
      <c r="H2" s="60"/>
      <c r="I2" s="60"/>
      <c r="J2" s="60"/>
      <c r="K2" s="39">
        <v>14.41</v>
      </c>
      <c r="L2" s="60"/>
      <c r="M2" s="39">
        <v>7.8</v>
      </c>
      <c r="N2" s="60"/>
      <c r="O2" s="39">
        <v>6.45</v>
      </c>
      <c r="P2" s="61"/>
      <c r="Q2" s="40">
        <v>5.71</v>
      </c>
      <c r="R2" s="61"/>
      <c r="S2" s="59"/>
    </row>
    <row r="3" spans="1:20" hidden="1" x14ac:dyDescent="0.25">
      <c r="A3" s="62">
        <v>1</v>
      </c>
      <c r="B3" s="62" t="s">
        <v>116</v>
      </c>
      <c r="C3" s="60">
        <f>G3-D3-E3-F3</f>
        <v>12776.599999999991</v>
      </c>
      <c r="D3" s="60">
        <v>1012.76</v>
      </c>
      <c r="E3" s="60">
        <f>2586.6+458.83</f>
        <v>3045.43</v>
      </c>
      <c r="F3" s="60">
        <v>48384.160000000003</v>
      </c>
      <c r="G3" s="60">
        <v>65218.95</v>
      </c>
      <c r="H3" s="60">
        <f>G3*1.2</f>
        <v>78262.739999999991</v>
      </c>
      <c r="I3" s="59">
        <v>487926.91110000003</v>
      </c>
      <c r="J3" s="59">
        <f>T3-S3</f>
        <v>253984.02899999998</v>
      </c>
      <c r="K3" s="39">
        <v>14.41</v>
      </c>
      <c r="L3" s="59">
        <f t="shared" ref="L3:L34" si="0">C3*K3</f>
        <v>184110.80599999987</v>
      </c>
      <c r="M3" s="39">
        <v>7.8</v>
      </c>
      <c r="N3" s="59">
        <f t="shared" ref="N3:N34" si="1">D3*M3</f>
        <v>7899.5279999999993</v>
      </c>
      <c r="O3" s="39">
        <v>6.45</v>
      </c>
      <c r="P3" s="59">
        <f t="shared" ref="P3:P34" si="2">E3*O3</f>
        <v>19643.023499999999</v>
      </c>
      <c r="Q3" s="40">
        <v>5.71</v>
      </c>
      <c r="R3" s="59">
        <f t="shared" ref="R3:R34" si="3">F3*Q3</f>
        <v>276273.55360000004</v>
      </c>
      <c r="S3" s="59">
        <v>331528.26432000007</v>
      </c>
      <c r="T3" s="72">
        <f t="shared" ref="T3:T28" si="4">I3*1.2</f>
        <v>585512.29332000006</v>
      </c>
    </row>
    <row r="4" spans="1:20" hidden="1" x14ac:dyDescent="0.25">
      <c r="A4" s="62">
        <v>2</v>
      </c>
      <c r="B4" s="62" t="s">
        <v>89</v>
      </c>
      <c r="C4" s="60">
        <f t="shared" ref="C4:C67" si="5">G4-D4-E4-F4</f>
        <v>12417.320000000007</v>
      </c>
      <c r="D4" s="60">
        <v>1012.76</v>
      </c>
      <c r="E4" s="60">
        <f>2586.6+458.83</f>
        <v>3045.43</v>
      </c>
      <c r="F4" s="60">
        <v>57079.86</v>
      </c>
      <c r="G4" s="60">
        <v>73555.37</v>
      </c>
      <c r="H4" s="60">
        <f t="shared" ref="H4:H67" si="6">G4*1.2</f>
        <v>88266.443999999989</v>
      </c>
      <c r="I4" s="59">
        <v>532402.1333000001</v>
      </c>
      <c r="J4" s="59">
        <f t="shared" ref="J4:J6" si="7">T4-S4</f>
        <v>247771.35924000008</v>
      </c>
      <c r="K4" s="39">
        <v>14.41</v>
      </c>
      <c r="L4" s="59">
        <f t="shared" si="0"/>
        <v>178933.5812000001</v>
      </c>
      <c r="M4" s="39">
        <v>7.8</v>
      </c>
      <c r="N4" s="59">
        <f t="shared" si="1"/>
        <v>7899.5279999999993</v>
      </c>
      <c r="O4" s="39">
        <v>6.45</v>
      </c>
      <c r="P4" s="59">
        <f t="shared" si="2"/>
        <v>19643.023499999999</v>
      </c>
      <c r="Q4" s="40">
        <v>5.71</v>
      </c>
      <c r="R4" s="59">
        <f t="shared" si="3"/>
        <v>325926.00060000003</v>
      </c>
      <c r="S4" s="59">
        <v>391111.20072000002</v>
      </c>
      <c r="T4" s="72">
        <f t="shared" si="4"/>
        <v>638882.5599600001</v>
      </c>
    </row>
    <row r="5" spans="1:20" ht="30.75" hidden="1" customHeight="1" x14ac:dyDescent="0.25">
      <c r="A5" s="62">
        <v>3</v>
      </c>
      <c r="B5" s="62" t="s">
        <v>117</v>
      </c>
      <c r="C5" s="60">
        <f t="shared" si="5"/>
        <v>17136.350000000006</v>
      </c>
      <c r="D5" s="60">
        <v>1014.83</v>
      </c>
      <c r="E5" s="60">
        <f>2586.6+458.83</f>
        <v>3045.43</v>
      </c>
      <c r="F5" s="60">
        <v>89578.25</v>
      </c>
      <c r="G5" s="60">
        <v>110774.86</v>
      </c>
      <c r="H5" s="60">
        <f t="shared" si="6"/>
        <v>132929.83199999999</v>
      </c>
      <c r="I5" s="59">
        <v>785985.30850000004</v>
      </c>
      <c r="J5" s="59">
        <f t="shared" si="7"/>
        <v>329392.20120000001</v>
      </c>
      <c r="K5" s="39">
        <v>14.41</v>
      </c>
      <c r="L5" s="59">
        <f t="shared" si="0"/>
        <v>246934.8035000001</v>
      </c>
      <c r="M5" s="39">
        <v>7.8</v>
      </c>
      <c r="N5" s="59">
        <f t="shared" si="1"/>
        <v>7915.674</v>
      </c>
      <c r="O5" s="39">
        <v>6.45</v>
      </c>
      <c r="P5" s="59">
        <f t="shared" si="2"/>
        <v>19643.023499999999</v>
      </c>
      <c r="Q5" s="40">
        <v>5.71</v>
      </c>
      <c r="R5" s="59">
        <f t="shared" si="3"/>
        <v>511491.8075</v>
      </c>
      <c r="S5" s="59">
        <v>613790.16899999999</v>
      </c>
      <c r="T5" s="72">
        <f t="shared" si="4"/>
        <v>943182.3702</v>
      </c>
    </row>
    <row r="6" spans="1:20" hidden="1" x14ac:dyDescent="0.25">
      <c r="A6" s="62">
        <v>4</v>
      </c>
      <c r="B6" s="62" t="s">
        <v>118</v>
      </c>
      <c r="C6" s="60">
        <f t="shared" si="5"/>
        <v>14488.449999999997</v>
      </c>
      <c r="D6" s="60">
        <v>1014.93</v>
      </c>
      <c r="E6" s="60">
        <f>459.25+2586.6</f>
        <v>3045.85</v>
      </c>
      <c r="F6" s="60">
        <v>93552.6</v>
      </c>
      <c r="G6" s="60">
        <v>112101.83</v>
      </c>
      <c r="H6" s="60">
        <f t="shared" si="6"/>
        <v>134522.196</v>
      </c>
      <c r="I6" s="59">
        <v>770526.09699999995</v>
      </c>
      <c r="J6" s="59">
        <f t="shared" si="7"/>
        <v>283608.90119999985</v>
      </c>
      <c r="K6" s="39">
        <v>14.41</v>
      </c>
      <c r="L6" s="59">
        <f t="shared" si="0"/>
        <v>208778.56449999995</v>
      </c>
      <c r="M6" s="39">
        <v>7.8</v>
      </c>
      <c r="N6" s="59">
        <f t="shared" si="1"/>
        <v>7916.4539999999997</v>
      </c>
      <c r="O6" s="39">
        <v>6.45</v>
      </c>
      <c r="P6" s="59">
        <f t="shared" si="2"/>
        <v>19645.732499999998</v>
      </c>
      <c r="Q6" s="40">
        <v>5.71</v>
      </c>
      <c r="R6" s="59">
        <f t="shared" si="3"/>
        <v>534185.34600000002</v>
      </c>
      <c r="S6" s="59">
        <v>641022.41520000005</v>
      </c>
      <c r="T6" s="72">
        <f t="shared" si="4"/>
        <v>924631.31639999989</v>
      </c>
    </row>
    <row r="7" spans="1:20" ht="27.75" hidden="1" customHeight="1" x14ac:dyDescent="0.25">
      <c r="A7" s="62">
        <v>4</v>
      </c>
      <c r="B7" s="62" t="s">
        <v>119</v>
      </c>
      <c r="C7" s="60">
        <f t="shared" si="5"/>
        <v>2185.2999999999993</v>
      </c>
      <c r="D7" s="60">
        <v>83.58</v>
      </c>
      <c r="E7" s="60">
        <v>11314</v>
      </c>
      <c r="F7" s="60"/>
      <c r="G7" s="60">
        <v>13582.88</v>
      </c>
      <c r="H7" s="60">
        <f t="shared" si="6"/>
        <v>16299.455999999998</v>
      </c>
      <c r="I7" s="59">
        <v>105117.397</v>
      </c>
      <c r="J7" s="59">
        <f t="shared" ref="J7:J41" si="8">I7*1.2-S7</f>
        <v>126140.87639999999</v>
      </c>
      <c r="K7" s="39">
        <v>14.41</v>
      </c>
      <c r="L7" s="59">
        <f t="shared" si="0"/>
        <v>31490.172999999992</v>
      </c>
      <c r="M7" s="39">
        <v>7.8</v>
      </c>
      <c r="N7" s="59">
        <f t="shared" si="1"/>
        <v>651.92399999999998</v>
      </c>
      <c r="O7" s="39">
        <v>6.45</v>
      </c>
      <c r="P7" s="59">
        <f t="shared" si="2"/>
        <v>72975.3</v>
      </c>
      <c r="Q7" s="40">
        <v>5.71</v>
      </c>
      <c r="R7" s="59">
        <f t="shared" si="3"/>
        <v>0</v>
      </c>
      <c r="S7" s="59">
        <v>0</v>
      </c>
      <c r="T7" s="72">
        <f t="shared" si="4"/>
        <v>126140.87639999999</v>
      </c>
    </row>
    <row r="8" spans="1:20" hidden="1" x14ac:dyDescent="0.25">
      <c r="A8" s="62">
        <v>5</v>
      </c>
      <c r="B8" s="62" t="s">
        <v>120</v>
      </c>
      <c r="C8" s="60">
        <f t="shared" si="5"/>
        <v>14699.750000000007</v>
      </c>
      <c r="D8" s="60">
        <v>2157.5300000000002</v>
      </c>
      <c r="E8" s="60">
        <f>19493+583.89</f>
        <v>20076.89</v>
      </c>
      <c r="F8" s="60">
        <v>51009.54</v>
      </c>
      <c r="G8" s="60">
        <v>87943.71</v>
      </c>
      <c r="H8" s="60">
        <f t="shared" si="6"/>
        <v>105532.452</v>
      </c>
      <c r="I8" s="59">
        <v>649412.54540000018</v>
      </c>
      <c r="J8" s="59">
        <f t="shared" ref="J8:J40" si="9">T8-S8</f>
        <v>429777.68640000012</v>
      </c>
      <c r="K8" s="39">
        <v>14.41</v>
      </c>
      <c r="L8" s="59">
        <f t="shared" si="0"/>
        <v>211823.39750000011</v>
      </c>
      <c r="M8" s="39">
        <v>7.8</v>
      </c>
      <c r="N8" s="59">
        <f t="shared" si="1"/>
        <v>16828.734</v>
      </c>
      <c r="O8" s="39">
        <v>6.45</v>
      </c>
      <c r="P8" s="59">
        <f t="shared" si="2"/>
        <v>129495.9405</v>
      </c>
      <c r="Q8" s="40">
        <v>5.71</v>
      </c>
      <c r="R8" s="59">
        <f t="shared" si="3"/>
        <v>291264.47340000002</v>
      </c>
      <c r="S8" s="59">
        <v>349517.36808000004</v>
      </c>
      <c r="T8" s="72">
        <f t="shared" si="4"/>
        <v>779295.05448000017</v>
      </c>
    </row>
    <row r="9" spans="1:20" hidden="1" x14ac:dyDescent="0.25">
      <c r="A9" s="62">
        <v>6</v>
      </c>
      <c r="B9" s="62" t="s">
        <v>121</v>
      </c>
      <c r="C9" s="60">
        <f t="shared" si="5"/>
        <v>19408.310000000012</v>
      </c>
      <c r="D9" s="60">
        <v>2194.21</v>
      </c>
      <c r="E9" s="60">
        <f>572.44+19882.77</f>
        <v>20455.21</v>
      </c>
      <c r="F9" s="60">
        <v>114123.02</v>
      </c>
      <c r="G9" s="60">
        <v>156180.75</v>
      </c>
      <c r="H9" s="60">
        <f t="shared" si="6"/>
        <v>187416.9</v>
      </c>
      <c r="I9" s="59">
        <v>1080367.1338000002</v>
      </c>
      <c r="J9" s="59">
        <f t="shared" si="9"/>
        <v>514469.6275200001</v>
      </c>
      <c r="K9" s="39">
        <v>14.41</v>
      </c>
      <c r="L9" s="59">
        <f t="shared" si="0"/>
        <v>279673.74710000015</v>
      </c>
      <c r="M9" s="39">
        <v>7.8</v>
      </c>
      <c r="N9" s="59">
        <f t="shared" si="1"/>
        <v>17114.838</v>
      </c>
      <c r="O9" s="39">
        <v>6.45</v>
      </c>
      <c r="P9" s="59">
        <f t="shared" si="2"/>
        <v>131936.10449999999</v>
      </c>
      <c r="Q9" s="40">
        <v>5.71</v>
      </c>
      <c r="R9" s="59">
        <f t="shared" si="3"/>
        <v>651642.44420000003</v>
      </c>
      <c r="S9" s="59">
        <v>781970.93304000003</v>
      </c>
      <c r="T9" s="72">
        <f t="shared" si="4"/>
        <v>1296440.5605600001</v>
      </c>
    </row>
    <row r="10" spans="1:20" hidden="1" x14ac:dyDescent="0.25">
      <c r="A10" s="62">
        <v>7</v>
      </c>
      <c r="B10" s="62" t="s">
        <v>122</v>
      </c>
      <c r="C10" s="60">
        <f t="shared" si="5"/>
        <v>21482.000000000029</v>
      </c>
      <c r="D10" s="60">
        <v>2177.08</v>
      </c>
      <c r="E10" s="60">
        <f>572.44+19882.77</f>
        <v>20455.21</v>
      </c>
      <c r="F10" s="60">
        <v>123749.94</v>
      </c>
      <c r="G10" s="60">
        <v>167864.23</v>
      </c>
      <c r="H10" s="60">
        <f t="shared" si="6"/>
        <v>201437.076</v>
      </c>
      <c r="I10" s="59">
        <v>1165085.1059000003</v>
      </c>
      <c r="J10" s="59">
        <f t="shared" si="9"/>
        <v>550167.53820000018</v>
      </c>
      <c r="K10" s="39">
        <v>14.41</v>
      </c>
      <c r="L10" s="59">
        <f t="shared" si="0"/>
        <v>309555.6200000004</v>
      </c>
      <c r="M10" s="39">
        <v>7.8</v>
      </c>
      <c r="N10" s="59">
        <f t="shared" si="1"/>
        <v>16981.223999999998</v>
      </c>
      <c r="O10" s="39">
        <v>6.45</v>
      </c>
      <c r="P10" s="59">
        <f t="shared" si="2"/>
        <v>131936.10449999999</v>
      </c>
      <c r="Q10" s="40">
        <v>5.71</v>
      </c>
      <c r="R10" s="59">
        <f t="shared" si="3"/>
        <v>706612.15740000003</v>
      </c>
      <c r="S10" s="59">
        <v>847934.58888000005</v>
      </c>
      <c r="T10" s="72">
        <f t="shared" si="4"/>
        <v>1398102.1270800002</v>
      </c>
    </row>
    <row r="11" spans="1:20" hidden="1" x14ac:dyDescent="0.25">
      <c r="A11" s="62">
        <v>8</v>
      </c>
      <c r="B11" s="62" t="s">
        <v>123</v>
      </c>
      <c r="C11" s="60">
        <f t="shared" si="5"/>
        <v>36793.339999999967</v>
      </c>
      <c r="D11" s="60">
        <v>3121.08</v>
      </c>
      <c r="E11" s="60">
        <v>8584.3799999999992</v>
      </c>
      <c r="F11" s="60">
        <v>243881.99</v>
      </c>
      <c r="G11" s="60">
        <v>292380.78999999998</v>
      </c>
      <c r="H11" s="60">
        <f t="shared" si="6"/>
        <v>350856.94799999997</v>
      </c>
      <c r="I11" s="59">
        <v>2002471.8672999996</v>
      </c>
      <c r="J11" s="59">
        <f t="shared" si="9"/>
        <v>731886.84527999954</v>
      </c>
      <c r="K11" s="39">
        <v>14.41</v>
      </c>
      <c r="L11" s="59">
        <f t="shared" si="0"/>
        <v>530192.02939999953</v>
      </c>
      <c r="M11" s="39">
        <v>7.8</v>
      </c>
      <c r="N11" s="59">
        <f t="shared" si="1"/>
        <v>24344.423999999999</v>
      </c>
      <c r="O11" s="39">
        <v>6.45</v>
      </c>
      <c r="P11" s="59">
        <f t="shared" si="2"/>
        <v>55369.250999999997</v>
      </c>
      <c r="Q11" s="40">
        <v>5.71</v>
      </c>
      <c r="R11" s="59">
        <f t="shared" si="3"/>
        <v>1392566.1628999999</v>
      </c>
      <c r="S11" s="59">
        <v>1671079.3954799999</v>
      </c>
      <c r="T11" s="72">
        <f t="shared" si="4"/>
        <v>2402966.2407599995</v>
      </c>
    </row>
    <row r="12" spans="1:20" hidden="1" x14ac:dyDescent="0.25">
      <c r="A12" s="62">
        <v>9</v>
      </c>
      <c r="B12" s="62" t="s">
        <v>124</v>
      </c>
      <c r="C12" s="60">
        <f t="shared" si="5"/>
        <v>43955.749999999942</v>
      </c>
      <c r="D12" s="60">
        <v>3367.2</v>
      </c>
      <c r="E12" s="60">
        <v>8592.52</v>
      </c>
      <c r="F12" s="60">
        <v>300799.25</v>
      </c>
      <c r="G12" s="60">
        <v>356714.72</v>
      </c>
      <c r="H12" s="60">
        <f t="shared" si="6"/>
        <v>428057.66399999993</v>
      </c>
      <c r="I12" s="59">
        <v>2432651.9889999991</v>
      </c>
      <c r="J12" s="59">
        <f t="shared" si="9"/>
        <v>858105.92579999892</v>
      </c>
      <c r="K12" s="39">
        <v>14.41</v>
      </c>
      <c r="L12" s="59">
        <f t="shared" si="0"/>
        <v>633402.35749999911</v>
      </c>
      <c r="M12" s="39">
        <v>7.8</v>
      </c>
      <c r="N12" s="59">
        <f t="shared" si="1"/>
        <v>26264.159999999996</v>
      </c>
      <c r="O12" s="39">
        <v>6.45</v>
      </c>
      <c r="P12" s="59">
        <f t="shared" si="2"/>
        <v>55421.754000000001</v>
      </c>
      <c r="Q12" s="40">
        <v>5.71</v>
      </c>
      <c r="R12" s="59">
        <f t="shared" si="3"/>
        <v>1717563.7175</v>
      </c>
      <c r="S12" s="59">
        <v>2061076.4610000001</v>
      </c>
      <c r="T12" s="72">
        <f t="shared" si="4"/>
        <v>2919182.386799999</v>
      </c>
    </row>
    <row r="13" spans="1:20" hidden="1" x14ac:dyDescent="0.25">
      <c r="A13" s="62">
        <v>10</v>
      </c>
      <c r="B13" s="62" t="s">
        <v>125</v>
      </c>
      <c r="C13" s="60">
        <f t="shared" si="5"/>
        <v>45494.570000000007</v>
      </c>
      <c r="D13" s="60">
        <v>3972.01</v>
      </c>
      <c r="E13" s="60">
        <v>8825.06</v>
      </c>
      <c r="F13" s="60">
        <v>338250</v>
      </c>
      <c r="G13" s="60">
        <v>396541.64</v>
      </c>
      <c r="H13" s="60">
        <f t="shared" si="6"/>
        <v>475849.96799999999</v>
      </c>
      <c r="I13" s="59">
        <v>2674887.5687000002</v>
      </c>
      <c r="J13" s="59">
        <f t="shared" si="9"/>
        <v>892176.08244000003</v>
      </c>
      <c r="K13" s="39">
        <v>14.41</v>
      </c>
      <c r="L13" s="59">
        <f t="shared" si="0"/>
        <v>655576.75370000012</v>
      </c>
      <c r="M13" s="39">
        <v>7.8</v>
      </c>
      <c r="N13" s="59">
        <f t="shared" si="1"/>
        <v>30981.678</v>
      </c>
      <c r="O13" s="39">
        <v>6.45</v>
      </c>
      <c r="P13" s="59">
        <f t="shared" si="2"/>
        <v>56921.636999999995</v>
      </c>
      <c r="Q13" s="40">
        <v>5.71</v>
      </c>
      <c r="R13" s="59">
        <f t="shared" si="3"/>
        <v>1931407.5</v>
      </c>
      <c r="S13" s="59">
        <v>2317689</v>
      </c>
      <c r="T13" s="72">
        <f t="shared" si="4"/>
        <v>3209865.08244</v>
      </c>
    </row>
    <row r="14" spans="1:20" hidden="1" x14ac:dyDescent="0.25">
      <c r="A14" s="62">
        <v>11</v>
      </c>
      <c r="B14" s="62" t="s">
        <v>126</v>
      </c>
      <c r="C14" s="60">
        <f t="shared" si="5"/>
        <v>55648.070000000007</v>
      </c>
      <c r="D14" s="60">
        <v>4763.09</v>
      </c>
      <c r="E14" s="60">
        <v>11705.87</v>
      </c>
      <c r="F14" s="60">
        <v>351896.43</v>
      </c>
      <c r="G14" s="60">
        <v>424013.46</v>
      </c>
      <c r="H14" s="60">
        <f t="shared" si="6"/>
        <v>508816.152</v>
      </c>
      <c r="I14" s="59">
        <v>2923872.2675000001</v>
      </c>
      <c r="J14" s="59">
        <f t="shared" si="9"/>
        <v>1097452.38264</v>
      </c>
      <c r="K14" s="39">
        <v>14.41</v>
      </c>
      <c r="L14" s="59">
        <f t="shared" si="0"/>
        <v>801888.68870000006</v>
      </c>
      <c r="M14" s="39">
        <v>7.8</v>
      </c>
      <c r="N14" s="59">
        <f t="shared" si="1"/>
        <v>37152.101999999999</v>
      </c>
      <c r="O14" s="39">
        <v>6.45</v>
      </c>
      <c r="P14" s="59">
        <f t="shared" si="2"/>
        <v>75502.861500000014</v>
      </c>
      <c r="Q14" s="40">
        <v>5.71</v>
      </c>
      <c r="R14" s="59">
        <f t="shared" si="3"/>
        <v>2009328.6152999999</v>
      </c>
      <c r="S14" s="59">
        <v>2411194.3383599999</v>
      </c>
      <c r="T14" s="72">
        <f t="shared" si="4"/>
        <v>3508646.7209999999</v>
      </c>
    </row>
    <row r="15" spans="1:20" hidden="1" x14ac:dyDescent="0.25">
      <c r="A15" s="62">
        <v>12</v>
      </c>
      <c r="B15" s="62" t="s">
        <v>127</v>
      </c>
      <c r="C15" s="60">
        <f t="shared" si="5"/>
        <v>75646.030000000028</v>
      </c>
      <c r="D15" s="60">
        <v>4894.97</v>
      </c>
      <c r="E15" s="60">
        <v>13791.65</v>
      </c>
      <c r="F15" s="60">
        <v>533955.73</v>
      </c>
      <c r="G15" s="60">
        <v>628288.38</v>
      </c>
      <c r="H15" s="60">
        <f t="shared" si="6"/>
        <v>753946.05599999998</v>
      </c>
      <c r="I15" s="59">
        <v>4266083.4191000005</v>
      </c>
      <c r="J15" s="59">
        <f t="shared" si="9"/>
        <v>1460635.4409600007</v>
      </c>
      <c r="K15" s="39">
        <v>14.41</v>
      </c>
      <c r="L15" s="59">
        <f t="shared" si="0"/>
        <v>1090059.2923000003</v>
      </c>
      <c r="M15" s="39">
        <v>7.8</v>
      </c>
      <c r="N15" s="59">
        <f t="shared" si="1"/>
        <v>38180.766000000003</v>
      </c>
      <c r="O15" s="39">
        <v>6.45</v>
      </c>
      <c r="P15" s="59">
        <f t="shared" si="2"/>
        <v>88956.142500000002</v>
      </c>
      <c r="Q15" s="40">
        <v>5.71</v>
      </c>
      <c r="R15" s="59">
        <f t="shared" si="3"/>
        <v>3048887.2182999998</v>
      </c>
      <c r="S15" s="59">
        <v>3658664.6619599997</v>
      </c>
      <c r="T15" s="72">
        <f t="shared" si="4"/>
        <v>5119300.1029200004</v>
      </c>
    </row>
    <row r="16" spans="1:20" hidden="1" x14ac:dyDescent="0.25">
      <c r="A16" s="62">
        <v>13</v>
      </c>
      <c r="B16" s="62" t="s">
        <v>128</v>
      </c>
      <c r="C16" s="60">
        <f t="shared" si="5"/>
        <v>79913.650000000023</v>
      </c>
      <c r="D16" s="60">
        <v>4024.94</v>
      </c>
      <c r="E16" s="60">
        <v>11415.5</v>
      </c>
      <c r="F16" s="60">
        <v>649542.92000000004</v>
      </c>
      <c r="G16" s="60">
        <v>744897.01</v>
      </c>
      <c r="H16" s="60">
        <f t="shared" si="6"/>
        <v>893876.41200000001</v>
      </c>
      <c r="I16" s="59">
        <v>4965470.2767000003</v>
      </c>
      <c r="J16" s="59">
        <f t="shared" si="9"/>
        <v>1507896.2441999996</v>
      </c>
      <c r="K16" s="39">
        <v>14.41</v>
      </c>
      <c r="L16" s="59">
        <f t="shared" si="0"/>
        <v>1151555.6965000003</v>
      </c>
      <c r="M16" s="39">
        <v>7.8</v>
      </c>
      <c r="N16" s="59">
        <f t="shared" si="1"/>
        <v>31394.531999999999</v>
      </c>
      <c r="O16" s="39">
        <v>6.45</v>
      </c>
      <c r="P16" s="59">
        <f t="shared" si="2"/>
        <v>73629.975000000006</v>
      </c>
      <c r="Q16" s="40">
        <v>5.71</v>
      </c>
      <c r="R16" s="59">
        <f t="shared" si="3"/>
        <v>3708890.0732</v>
      </c>
      <c r="S16" s="59">
        <v>4450668.0878400002</v>
      </c>
      <c r="T16" s="72">
        <f t="shared" si="4"/>
        <v>5958564.3320399998</v>
      </c>
    </row>
    <row r="17" spans="1:20" hidden="1" x14ac:dyDescent="0.25">
      <c r="A17" s="62">
        <v>14</v>
      </c>
      <c r="B17" s="62" t="s">
        <v>129</v>
      </c>
      <c r="C17" s="60">
        <f t="shared" si="5"/>
        <v>106098.32999999996</v>
      </c>
      <c r="D17" s="60">
        <v>5900.39</v>
      </c>
      <c r="E17" s="60">
        <v>13000.87</v>
      </c>
      <c r="F17" s="60">
        <v>751400.9</v>
      </c>
      <c r="G17" s="60">
        <v>876400.49</v>
      </c>
      <c r="H17" s="60">
        <f t="shared" si="6"/>
        <v>1051680.588</v>
      </c>
      <c r="I17" s="59">
        <v>5949254.7277999995</v>
      </c>
      <c r="J17" s="59">
        <f t="shared" si="9"/>
        <v>1990506.7065599989</v>
      </c>
      <c r="K17" s="39">
        <v>14.41</v>
      </c>
      <c r="L17" s="59">
        <f t="shared" si="0"/>
        <v>1528876.9352999993</v>
      </c>
      <c r="M17" s="39">
        <v>7.8</v>
      </c>
      <c r="N17" s="59">
        <f t="shared" si="1"/>
        <v>46023.042000000001</v>
      </c>
      <c r="O17" s="39">
        <v>6.45</v>
      </c>
      <c r="P17" s="59">
        <f t="shared" si="2"/>
        <v>83855.611500000014</v>
      </c>
      <c r="Q17" s="40">
        <v>5.71</v>
      </c>
      <c r="R17" s="59">
        <f t="shared" si="3"/>
        <v>4290499.1390000004</v>
      </c>
      <c r="S17" s="59">
        <v>5148598.9668000005</v>
      </c>
      <c r="T17" s="72">
        <f t="shared" si="4"/>
        <v>7139105.6733599994</v>
      </c>
    </row>
    <row r="18" spans="1:20" hidden="1" x14ac:dyDescent="0.25">
      <c r="A18" s="62">
        <v>15</v>
      </c>
      <c r="B18" s="62" t="s">
        <v>130</v>
      </c>
      <c r="C18" s="60">
        <f t="shared" si="5"/>
        <v>107410.02000000014</v>
      </c>
      <c r="D18" s="60">
        <v>6295.41</v>
      </c>
      <c r="E18" s="60">
        <v>13242.19</v>
      </c>
      <c r="F18" s="60">
        <v>769016.19</v>
      </c>
      <c r="G18" s="60">
        <v>895963.81</v>
      </c>
      <c r="H18" s="60">
        <f t="shared" si="6"/>
        <v>1075156.5719999999</v>
      </c>
      <c r="I18" s="59">
        <v>6073377.1566000022</v>
      </c>
      <c r="J18" s="59">
        <f t="shared" si="9"/>
        <v>2018753.6540400032</v>
      </c>
      <c r="K18" s="39">
        <v>14.41</v>
      </c>
      <c r="L18" s="59">
        <f t="shared" si="0"/>
        <v>1547778.388200002</v>
      </c>
      <c r="M18" s="39">
        <v>7.8</v>
      </c>
      <c r="N18" s="59">
        <f t="shared" si="1"/>
        <v>49104.197999999997</v>
      </c>
      <c r="O18" s="39">
        <v>6.45</v>
      </c>
      <c r="P18" s="59">
        <f t="shared" si="2"/>
        <v>85412.125500000009</v>
      </c>
      <c r="Q18" s="40">
        <v>5.71</v>
      </c>
      <c r="R18" s="59">
        <f t="shared" si="3"/>
        <v>4391082.4448999995</v>
      </c>
      <c r="S18" s="59">
        <v>5269298.9338799994</v>
      </c>
      <c r="T18" s="72">
        <f t="shared" si="4"/>
        <v>7288052.5879200026</v>
      </c>
    </row>
    <row r="19" spans="1:20" hidden="1" x14ac:dyDescent="0.25">
      <c r="A19" s="62">
        <v>16</v>
      </c>
      <c r="B19" s="62" t="s">
        <v>131</v>
      </c>
      <c r="C19" s="60">
        <f t="shared" si="5"/>
        <v>121802.55000000005</v>
      </c>
      <c r="D19" s="60">
        <v>6793.57</v>
      </c>
      <c r="E19" s="60">
        <v>14984.14</v>
      </c>
      <c r="F19" s="60">
        <v>827337.3</v>
      </c>
      <c r="G19" s="60">
        <v>970917.56</v>
      </c>
      <c r="H19" s="60">
        <f t="shared" si="6"/>
        <v>1165101.0719999999</v>
      </c>
      <c r="I19" s="59">
        <v>6628908.2775000008</v>
      </c>
      <c r="J19" s="59">
        <f t="shared" si="9"/>
        <v>2285774.7533999998</v>
      </c>
      <c r="K19" s="39">
        <v>14.41</v>
      </c>
      <c r="L19" s="59">
        <f t="shared" si="0"/>
        <v>1755174.7455000007</v>
      </c>
      <c r="M19" s="39">
        <v>7.8</v>
      </c>
      <c r="N19" s="59">
        <f t="shared" si="1"/>
        <v>52989.845999999998</v>
      </c>
      <c r="O19" s="39">
        <v>6.45</v>
      </c>
      <c r="P19" s="59">
        <f t="shared" si="2"/>
        <v>96647.702999999994</v>
      </c>
      <c r="Q19" s="40">
        <v>5.71</v>
      </c>
      <c r="R19" s="59">
        <f t="shared" si="3"/>
        <v>4724095.983</v>
      </c>
      <c r="S19" s="59">
        <v>5668915.1796000004</v>
      </c>
      <c r="T19" s="72">
        <f t="shared" si="4"/>
        <v>7954689.9330000002</v>
      </c>
    </row>
    <row r="20" spans="1:20" hidden="1" x14ac:dyDescent="0.25">
      <c r="A20" s="62">
        <v>17</v>
      </c>
      <c r="B20" s="62" t="s">
        <v>132</v>
      </c>
      <c r="C20" s="60">
        <f t="shared" si="5"/>
        <v>123458.65000000014</v>
      </c>
      <c r="D20" s="60">
        <v>6356.82</v>
      </c>
      <c r="E20" s="60">
        <v>16412.150000000001</v>
      </c>
      <c r="F20" s="60">
        <v>1046265.22</v>
      </c>
      <c r="G20" s="60">
        <v>1192492.8400000001</v>
      </c>
      <c r="H20" s="60">
        <f t="shared" si="6"/>
        <v>1430991.4080000001</v>
      </c>
      <c r="I20" s="59">
        <v>7908655.1162000019</v>
      </c>
      <c r="J20" s="59">
        <f t="shared" si="9"/>
        <v>2321376.8520000018</v>
      </c>
      <c r="K20" s="39">
        <v>14.41</v>
      </c>
      <c r="L20" s="59">
        <f t="shared" si="0"/>
        <v>1779039.1465000021</v>
      </c>
      <c r="M20" s="39">
        <v>7.8</v>
      </c>
      <c r="N20" s="59">
        <f t="shared" si="1"/>
        <v>49583.195999999996</v>
      </c>
      <c r="O20" s="39">
        <v>6.45</v>
      </c>
      <c r="P20" s="59">
        <f t="shared" si="2"/>
        <v>105858.36750000001</v>
      </c>
      <c r="Q20" s="40">
        <v>5.71</v>
      </c>
      <c r="R20" s="59">
        <f t="shared" si="3"/>
        <v>5974174.4062000001</v>
      </c>
      <c r="S20" s="59">
        <v>7169009.2874400001</v>
      </c>
      <c r="T20" s="72">
        <f t="shared" si="4"/>
        <v>9490386.1394400019</v>
      </c>
    </row>
    <row r="21" spans="1:20" hidden="1" x14ac:dyDescent="0.25">
      <c r="A21" s="62">
        <v>18</v>
      </c>
      <c r="B21" s="62" t="s">
        <v>133</v>
      </c>
      <c r="C21" s="60">
        <f t="shared" si="5"/>
        <v>87109.850000000035</v>
      </c>
      <c r="D21" s="60">
        <v>10844.45</v>
      </c>
      <c r="E21" s="60">
        <v>22774.25</v>
      </c>
      <c r="F21" s="60">
        <v>424275.55</v>
      </c>
      <c r="G21" s="60">
        <v>545004.1</v>
      </c>
      <c r="H21" s="60">
        <f t="shared" si="6"/>
        <v>654004.91999999993</v>
      </c>
      <c r="I21" s="59">
        <v>3909346.9515000004</v>
      </c>
      <c r="J21" s="59">
        <f t="shared" si="9"/>
        <v>1784080.2732000006</v>
      </c>
      <c r="K21" s="39">
        <v>14.41</v>
      </c>
      <c r="L21" s="59">
        <f t="shared" si="0"/>
        <v>1255252.9385000006</v>
      </c>
      <c r="M21" s="39">
        <v>7.8</v>
      </c>
      <c r="N21" s="59">
        <f t="shared" si="1"/>
        <v>84586.71</v>
      </c>
      <c r="O21" s="39">
        <v>6.45</v>
      </c>
      <c r="P21" s="59">
        <f t="shared" si="2"/>
        <v>146893.91250000001</v>
      </c>
      <c r="Q21" s="40">
        <v>5.71</v>
      </c>
      <c r="R21" s="59">
        <f t="shared" si="3"/>
        <v>2422613.3904999997</v>
      </c>
      <c r="S21" s="59">
        <v>2907136.0685999999</v>
      </c>
      <c r="T21" s="72">
        <f t="shared" si="4"/>
        <v>4691216.3418000005</v>
      </c>
    </row>
    <row r="22" spans="1:20" ht="16.5" hidden="1" customHeight="1" x14ac:dyDescent="0.25">
      <c r="A22" s="62">
        <v>19</v>
      </c>
      <c r="B22" s="62" t="s">
        <v>134</v>
      </c>
      <c r="C22" s="60">
        <f t="shared" si="5"/>
        <v>106525.71999999997</v>
      </c>
      <c r="D22" s="60">
        <v>10851.31</v>
      </c>
      <c r="E22" s="60">
        <v>22774.25</v>
      </c>
      <c r="F22" s="60">
        <v>593199.89</v>
      </c>
      <c r="G22" s="60">
        <v>733351.17</v>
      </c>
      <c r="H22" s="60">
        <f t="shared" si="6"/>
        <v>880021.40399999998</v>
      </c>
      <c r="I22" s="59">
        <v>5153741.1275999993</v>
      </c>
      <c r="J22" s="59">
        <f t="shared" si="9"/>
        <v>2119883.7068399992</v>
      </c>
      <c r="K22" s="39">
        <v>14.41</v>
      </c>
      <c r="L22" s="59">
        <f t="shared" si="0"/>
        <v>1535035.6251999997</v>
      </c>
      <c r="M22" s="39">
        <v>7.8</v>
      </c>
      <c r="N22" s="59">
        <f t="shared" si="1"/>
        <v>84640.217999999993</v>
      </c>
      <c r="O22" s="39">
        <v>6.45</v>
      </c>
      <c r="P22" s="59">
        <f t="shared" si="2"/>
        <v>146893.91250000001</v>
      </c>
      <c r="Q22" s="40">
        <v>5.71</v>
      </c>
      <c r="R22" s="59">
        <f t="shared" si="3"/>
        <v>3387171.3719000001</v>
      </c>
      <c r="S22" s="59">
        <v>4064605.64628</v>
      </c>
      <c r="T22" s="72">
        <f t="shared" si="4"/>
        <v>6184489.3531199992</v>
      </c>
    </row>
    <row r="23" spans="1:20" hidden="1" x14ac:dyDescent="0.25">
      <c r="A23" s="62">
        <v>20</v>
      </c>
      <c r="B23" s="62" t="s">
        <v>135</v>
      </c>
      <c r="C23" s="60">
        <f t="shared" si="5"/>
        <v>113279.67000000004</v>
      </c>
      <c r="D23" s="60">
        <v>11550.99</v>
      </c>
      <c r="E23" s="60">
        <v>23000.86</v>
      </c>
      <c r="F23" s="60">
        <v>612751.48</v>
      </c>
      <c r="G23" s="60">
        <v>760583</v>
      </c>
      <c r="H23" s="60">
        <f t="shared" si="6"/>
        <v>912699.6</v>
      </c>
      <c r="I23" s="59">
        <v>5369624.2645000005</v>
      </c>
      <c r="J23" s="59">
        <f t="shared" si="9"/>
        <v>2244975.9764400013</v>
      </c>
      <c r="K23" s="39">
        <v>14.41</v>
      </c>
      <c r="L23" s="59">
        <f t="shared" si="0"/>
        <v>1632360.0447000007</v>
      </c>
      <c r="M23" s="39">
        <v>7.8</v>
      </c>
      <c r="N23" s="59">
        <f t="shared" si="1"/>
        <v>90097.721999999994</v>
      </c>
      <c r="O23" s="39">
        <v>6.45</v>
      </c>
      <c r="P23" s="59">
        <f t="shared" si="2"/>
        <v>148355.54700000002</v>
      </c>
      <c r="Q23" s="40">
        <v>5.71</v>
      </c>
      <c r="R23" s="59">
        <f t="shared" si="3"/>
        <v>3498810.9507999998</v>
      </c>
      <c r="S23" s="59">
        <v>4198573.1409599995</v>
      </c>
      <c r="T23" s="72">
        <f t="shared" si="4"/>
        <v>6443549.1174000008</v>
      </c>
    </row>
    <row r="24" spans="1:20" ht="17.25" hidden="1" customHeight="1" x14ac:dyDescent="0.25">
      <c r="A24" s="62">
        <v>21</v>
      </c>
      <c r="B24" s="62" t="s">
        <v>136</v>
      </c>
      <c r="C24" s="60">
        <f t="shared" si="5"/>
        <v>117158.30000000005</v>
      </c>
      <c r="D24" s="60">
        <v>11592.12</v>
      </c>
      <c r="E24" s="60">
        <v>23000.86</v>
      </c>
      <c r="F24" s="60">
        <v>641820.09</v>
      </c>
      <c r="G24" s="60">
        <v>793571.37</v>
      </c>
      <c r="H24" s="60">
        <f t="shared" si="6"/>
        <v>952285.64399999997</v>
      </c>
      <c r="I24" s="59">
        <v>5591817.8999000005</v>
      </c>
      <c r="J24" s="59">
        <f t="shared" si="9"/>
        <v>2312430.2232000008</v>
      </c>
      <c r="K24" s="39">
        <v>14.41</v>
      </c>
      <c r="L24" s="59">
        <f t="shared" si="0"/>
        <v>1688251.1030000006</v>
      </c>
      <c r="M24" s="39">
        <v>7.8</v>
      </c>
      <c r="N24" s="59">
        <f t="shared" si="1"/>
        <v>90418.536000000007</v>
      </c>
      <c r="O24" s="39">
        <v>6.45</v>
      </c>
      <c r="P24" s="59">
        <f t="shared" si="2"/>
        <v>148355.54700000002</v>
      </c>
      <c r="Q24" s="40">
        <v>5.71</v>
      </c>
      <c r="R24" s="59">
        <f t="shared" si="3"/>
        <v>3664792.7138999999</v>
      </c>
      <c r="S24" s="59">
        <v>4397751.2566799996</v>
      </c>
      <c r="T24" s="72">
        <f t="shared" si="4"/>
        <v>6710181.4798800005</v>
      </c>
    </row>
    <row r="25" spans="1:20" hidden="1" x14ac:dyDescent="0.25">
      <c r="A25" s="62">
        <v>22</v>
      </c>
      <c r="B25" s="62" t="s">
        <v>137</v>
      </c>
      <c r="C25" s="60">
        <f t="shared" si="5"/>
        <v>130930.19000000006</v>
      </c>
      <c r="D25" s="60">
        <v>12752.94</v>
      </c>
      <c r="E25" s="60">
        <v>23843.22</v>
      </c>
      <c r="F25" s="60">
        <v>719566.35</v>
      </c>
      <c r="G25" s="60">
        <v>887092.7</v>
      </c>
      <c r="H25" s="60">
        <f t="shared" si="6"/>
        <v>1064511.24</v>
      </c>
      <c r="I25" s="59">
        <v>6248689.5974000003</v>
      </c>
      <c r="J25" s="59">
        <f t="shared" si="9"/>
        <v>2567958.8866800005</v>
      </c>
      <c r="K25" s="39">
        <v>14.41</v>
      </c>
      <c r="L25" s="59">
        <f t="shared" si="0"/>
        <v>1886704.0379000008</v>
      </c>
      <c r="M25" s="39">
        <v>7.8</v>
      </c>
      <c r="N25" s="59">
        <f t="shared" si="1"/>
        <v>99472.932000000001</v>
      </c>
      <c r="O25" s="39">
        <v>6.45</v>
      </c>
      <c r="P25" s="59">
        <f t="shared" si="2"/>
        <v>153788.769</v>
      </c>
      <c r="Q25" s="40">
        <v>5.71</v>
      </c>
      <c r="R25" s="59">
        <f t="shared" si="3"/>
        <v>4108723.8584999996</v>
      </c>
      <c r="S25" s="59">
        <v>4930468.6301999995</v>
      </c>
      <c r="T25" s="72">
        <f t="shared" si="4"/>
        <v>7498427.51688</v>
      </c>
    </row>
    <row r="26" spans="1:20" hidden="1" x14ac:dyDescent="0.25">
      <c r="A26" s="62">
        <v>23</v>
      </c>
      <c r="B26" s="62" t="s">
        <v>138</v>
      </c>
      <c r="C26" s="60">
        <f t="shared" si="5"/>
        <v>164221.89999999991</v>
      </c>
      <c r="D26" s="60">
        <v>17801.900000000001</v>
      </c>
      <c r="E26" s="60">
        <v>26781.48</v>
      </c>
      <c r="F26" s="60">
        <v>728828.79</v>
      </c>
      <c r="G26" s="60">
        <v>937634.07</v>
      </c>
      <c r="H26" s="60">
        <f t="shared" si="6"/>
        <v>1125160.8839999998</v>
      </c>
      <c r="I26" s="59">
        <v>6839645.3358999984</v>
      </c>
      <c r="J26" s="59">
        <f t="shared" si="9"/>
        <v>3213639.5339999981</v>
      </c>
      <c r="K26" s="39">
        <v>14.41</v>
      </c>
      <c r="L26" s="59">
        <f t="shared" si="0"/>
        <v>2366437.5789999985</v>
      </c>
      <c r="M26" s="39">
        <v>7.8</v>
      </c>
      <c r="N26" s="59">
        <f t="shared" si="1"/>
        <v>138854.82</v>
      </c>
      <c r="O26" s="39">
        <v>6.45</v>
      </c>
      <c r="P26" s="59">
        <f t="shared" si="2"/>
        <v>172740.546</v>
      </c>
      <c r="Q26" s="40">
        <v>5.71</v>
      </c>
      <c r="R26" s="59">
        <f t="shared" si="3"/>
        <v>4161612.3909</v>
      </c>
      <c r="S26" s="59">
        <v>4993934.8690799996</v>
      </c>
      <c r="T26" s="72">
        <f t="shared" si="4"/>
        <v>8207574.4030799977</v>
      </c>
    </row>
    <row r="27" spans="1:20" hidden="1" x14ac:dyDescent="0.25">
      <c r="A27" s="62">
        <v>24</v>
      </c>
      <c r="B27" s="62" t="s">
        <v>139</v>
      </c>
      <c r="C27" s="60">
        <f t="shared" si="5"/>
        <v>145109.52999999991</v>
      </c>
      <c r="D27" s="60">
        <v>15558.61</v>
      </c>
      <c r="E27" s="60">
        <v>40644.050000000003</v>
      </c>
      <c r="F27" s="60">
        <v>762300.67</v>
      </c>
      <c r="G27" s="60">
        <v>963612.86</v>
      </c>
      <c r="H27" s="60">
        <f t="shared" si="6"/>
        <v>1156335.432</v>
      </c>
      <c r="I27" s="59">
        <v>6827276.4334999993</v>
      </c>
      <c r="J27" s="59">
        <f t="shared" si="9"/>
        <v>2969447.5293599982</v>
      </c>
      <c r="K27" s="39">
        <v>14.41</v>
      </c>
      <c r="L27" s="59">
        <f t="shared" si="0"/>
        <v>2091028.3272999988</v>
      </c>
      <c r="M27" s="39">
        <v>7.8</v>
      </c>
      <c r="N27" s="59">
        <f t="shared" si="1"/>
        <v>121357.158</v>
      </c>
      <c r="O27" s="39">
        <v>6.45</v>
      </c>
      <c r="P27" s="59">
        <f t="shared" si="2"/>
        <v>262154.1225</v>
      </c>
      <c r="Q27" s="40">
        <v>5.71</v>
      </c>
      <c r="R27" s="59">
        <f t="shared" si="3"/>
        <v>4352736.8256999999</v>
      </c>
      <c r="S27" s="59">
        <v>5223284.1908400003</v>
      </c>
      <c r="T27" s="72">
        <f t="shared" si="4"/>
        <v>8192731.7201999985</v>
      </c>
    </row>
    <row r="28" spans="1:20" hidden="1" x14ac:dyDescent="0.25">
      <c r="A28" s="62">
        <v>25</v>
      </c>
      <c r="B28" s="62" t="s">
        <v>140</v>
      </c>
      <c r="C28" s="60">
        <f t="shared" si="5"/>
        <v>193028.31000000006</v>
      </c>
      <c r="D28" s="60">
        <v>16952.400000000001</v>
      </c>
      <c r="E28" s="60">
        <v>41109.129999999997</v>
      </c>
      <c r="F28" s="60">
        <v>1297990.1100000001</v>
      </c>
      <c r="G28" s="60">
        <v>1549079.95</v>
      </c>
      <c r="H28" s="60">
        <f t="shared" si="6"/>
        <v>1858895.94</v>
      </c>
      <c r="I28" s="59">
        <v>10590444.083700001</v>
      </c>
      <c r="J28" s="59">
        <f t="shared" si="9"/>
        <v>3814704.666720001</v>
      </c>
      <c r="K28" s="39">
        <v>14.41</v>
      </c>
      <c r="L28" s="59">
        <f t="shared" si="0"/>
        <v>2781537.9471000009</v>
      </c>
      <c r="M28" s="39">
        <v>7.8</v>
      </c>
      <c r="N28" s="59">
        <f t="shared" si="1"/>
        <v>132228.72</v>
      </c>
      <c r="O28" s="39">
        <v>6.45</v>
      </c>
      <c r="P28" s="59">
        <f t="shared" si="2"/>
        <v>265153.8885</v>
      </c>
      <c r="Q28" s="40">
        <v>5.71</v>
      </c>
      <c r="R28" s="59">
        <f t="shared" si="3"/>
        <v>7411523.5281000007</v>
      </c>
      <c r="S28" s="59">
        <v>8893828.2337200008</v>
      </c>
      <c r="T28" s="72">
        <f t="shared" si="4"/>
        <v>12708532.900440002</v>
      </c>
    </row>
    <row r="29" spans="1:20" hidden="1" x14ac:dyDescent="0.25">
      <c r="A29" s="62">
        <v>26</v>
      </c>
      <c r="B29" s="62" t="s">
        <v>141</v>
      </c>
      <c r="C29" s="60">
        <f t="shared" si="5"/>
        <v>281132.24</v>
      </c>
      <c r="D29" s="60">
        <v>16993.55</v>
      </c>
      <c r="E29" s="60">
        <v>37245.769999999997</v>
      </c>
      <c r="F29" s="60">
        <v>1365130.04</v>
      </c>
      <c r="G29" s="60">
        <v>1700501.6</v>
      </c>
      <c r="H29" s="60">
        <f t="shared" si="6"/>
        <v>2040601.92</v>
      </c>
      <c r="I29" s="59">
        <v>12218793.0133</v>
      </c>
      <c r="J29" s="59">
        <f t="shared" si="9"/>
        <v>5308680.5818799995</v>
      </c>
      <c r="K29" s="39">
        <v>14.41</v>
      </c>
      <c r="L29" s="59">
        <f t="shared" si="0"/>
        <v>4051115.5784</v>
      </c>
      <c r="M29" s="39">
        <v>7.8</v>
      </c>
      <c r="N29" s="59">
        <f t="shared" si="1"/>
        <v>132549.69</v>
      </c>
      <c r="O29" s="39">
        <v>6.45</v>
      </c>
      <c r="P29" s="59">
        <f t="shared" si="2"/>
        <v>240235.21649999998</v>
      </c>
      <c r="Q29" s="40">
        <v>5.71</v>
      </c>
      <c r="R29" s="59">
        <f t="shared" si="3"/>
        <v>7794892.5284000002</v>
      </c>
      <c r="S29" s="59">
        <v>9353871.0340800006</v>
      </c>
      <c r="T29" s="72">
        <f>I29*1.2</f>
        <v>14662551.61596</v>
      </c>
    </row>
    <row r="30" spans="1:20" hidden="1" x14ac:dyDescent="0.25">
      <c r="A30" s="62">
        <v>27</v>
      </c>
      <c r="B30" s="62" t="s">
        <v>87</v>
      </c>
      <c r="C30" s="60">
        <f t="shared" si="5"/>
        <v>286356.08999999985</v>
      </c>
      <c r="D30" s="60">
        <v>17020.95</v>
      </c>
      <c r="E30" s="60">
        <v>37245.769999999997</v>
      </c>
      <c r="F30" s="60">
        <v>2149923.65</v>
      </c>
      <c r="G30" s="60">
        <v>2490546.46</v>
      </c>
      <c r="H30" s="60">
        <f t="shared" si="6"/>
        <v>2988655.7519999999</v>
      </c>
      <c r="I30" s="59">
        <v>16775453.924899999</v>
      </c>
      <c r="J30" s="59">
        <f t="shared" si="9"/>
        <v>5399267.8600799982</v>
      </c>
      <c r="K30" s="39">
        <v>14.41</v>
      </c>
      <c r="L30" s="59">
        <f t="shared" si="0"/>
        <v>4126391.2568999981</v>
      </c>
      <c r="M30" s="39">
        <v>7.8</v>
      </c>
      <c r="N30" s="59">
        <f t="shared" si="1"/>
        <v>132763.41</v>
      </c>
      <c r="O30" s="39">
        <v>6.45</v>
      </c>
      <c r="P30" s="59">
        <f t="shared" si="2"/>
        <v>240235.21649999998</v>
      </c>
      <c r="Q30" s="40">
        <v>5.71</v>
      </c>
      <c r="R30" s="59">
        <f t="shared" si="3"/>
        <v>12276064.0415</v>
      </c>
      <c r="S30" s="59">
        <v>14731276.8498</v>
      </c>
      <c r="T30" s="72">
        <f t="shared" ref="T30:T93" si="10">I30*1.2</f>
        <v>20130544.709879998</v>
      </c>
    </row>
    <row r="31" spans="1:20" hidden="1" x14ac:dyDescent="0.25">
      <c r="A31" s="62">
        <v>28</v>
      </c>
      <c r="B31" s="62" t="s">
        <v>142</v>
      </c>
      <c r="C31" s="60">
        <f t="shared" si="5"/>
        <v>304450.33000000007</v>
      </c>
      <c r="D31" s="60">
        <v>17048.37</v>
      </c>
      <c r="E31" s="60">
        <v>37245.769999999997</v>
      </c>
      <c r="F31" s="60">
        <v>2352456.8199999998</v>
      </c>
      <c r="G31" s="60">
        <v>2711201.29</v>
      </c>
      <c r="H31" s="60">
        <f t="shared" si="6"/>
        <v>3253441.548</v>
      </c>
      <c r="I31" s="59">
        <v>18192870.200000003</v>
      </c>
      <c r="J31" s="59">
        <f t="shared" si="9"/>
        <v>5712410.109360002</v>
      </c>
      <c r="K31" s="39">
        <v>14.41</v>
      </c>
      <c r="L31" s="59">
        <f t="shared" si="0"/>
        <v>4387129.2553000012</v>
      </c>
      <c r="M31" s="39">
        <v>7.8</v>
      </c>
      <c r="N31" s="59">
        <f t="shared" si="1"/>
        <v>132977.28599999999</v>
      </c>
      <c r="O31" s="39">
        <v>6.45</v>
      </c>
      <c r="P31" s="59">
        <f t="shared" si="2"/>
        <v>240235.21649999998</v>
      </c>
      <c r="Q31" s="40">
        <v>5.71</v>
      </c>
      <c r="R31" s="59">
        <f t="shared" si="3"/>
        <v>13432528.442199999</v>
      </c>
      <c r="S31" s="59">
        <v>16119034.13064</v>
      </c>
      <c r="T31" s="72">
        <f t="shared" si="10"/>
        <v>21831444.240000002</v>
      </c>
    </row>
    <row r="32" spans="1:20" hidden="1" x14ac:dyDescent="0.25">
      <c r="A32" s="62">
        <v>29</v>
      </c>
      <c r="B32" s="62" t="s">
        <v>88</v>
      </c>
      <c r="C32" s="60">
        <f t="shared" si="5"/>
        <v>337076.90000000037</v>
      </c>
      <c r="D32" s="60">
        <v>27136.9</v>
      </c>
      <c r="E32" s="60">
        <v>40260.78</v>
      </c>
      <c r="F32" s="60">
        <v>2559031.2799999998</v>
      </c>
      <c r="G32" s="60">
        <v>2963505.86</v>
      </c>
      <c r="H32" s="60">
        <f t="shared" si="6"/>
        <v>3556207.0319999997</v>
      </c>
      <c r="I32" s="59">
        <v>19940696.588800006</v>
      </c>
      <c r="J32" s="59">
        <f t="shared" si="9"/>
        <v>6394353.5760000087</v>
      </c>
      <c r="K32" s="39">
        <v>14.41</v>
      </c>
      <c r="L32" s="59">
        <f t="shared" si="0"/>
        <v>4857278.1290000053</v>
      </c>
      <c r="M32" s="39">
        <v>7.8</v>
      </c>
      <c r="N32" s="59">
        <f t="shared" si="1"/>
        <v>211667.82</v>
      </c>
      <c r="O32" s="39">
        <v>6.45</v>
      </c>
      <c r="P32" s="59">
        <f t="shared" si="2"/>
        <v>259682.03099999999</v>
      </c>
      <c r="Q32" s="40">
        <v>5.71</v>
      </c>
      <c r="R32" s="59">
        <f t="shared" si="3"/>
        <v>14612068.6088</v>
      </c>
      <c r="S32" s="59">
        <v>17534482.330559999</v>
      </c>
      <c r="T32" s="72">
        <f t="shared" si="10"/>
        <v>23928835.906560007</v>
      </c>
    </row>
    <row r="33" spans="1:20" hidden="1" x14ac:dyDescent="0.25">
      <c r="A33" s="62">
        <v>30</v>
      </c>
      <c r="B33" s="62" t="s">
        <v>143</v>
      </c>
      <c r="C33" s="60">
        <f t="shared" si="5"/>
        <v>428812.73000000045</v>
      </c>
      <c r="D33" s="60">
        <v>18943.169999999998</v>
      </c>
      <c r="E33" s="60">
        <v>51287.63</v>
      </c>
      <c r="F33" s="60">
        <v>3328823.84</v>
      </c>
      <c r="G33" s="60">
        <v>3827867.37</v>
      </c>
      <c r="H33" s="60">
        <f t="shared" si="6"/>
        <v>4593440.8439999996</v>
      </c>
      <c r="I33" s="59">
        <v>25665337.505200002</v>
      </c>
      <c r="J33" s="59">
        <f t="shared" si="9"/>
        <v>7989304.0545600057</v>
      </c>
      <c r="K33" s="39">
        <v>14.41</v>
      </c>
      <c r="L33" s="59">
        <f t="shared" si="0"/>
        <v>6179191.4393000063</v>
      </c>
      <c r="M33" s="39">
        <v>7.8</v>
      </c>
      <c r="N33" s="59">
        <f t="shared" si="1"/>
        <v>147756.726</v>
      </c>
      <c r="O33" s="39">
        <v>6.45</v>
      </c>
      <c r="P33" s="59">
        <f t="shared" si="2"/>
        <v>330805.21350000001</v>
      </c>
      <c r="Q33" s="40">
        <v>5.71</v>
      </c>
      <c r="R33" s="59">
        <f t="shared" si="3"/>
        <v>19007584.126399998</v>
      </c>
      <c r="S33" s="59">
        <v>22809100.951679997</v>
      </c>
      <c r="T33" s="72">
        <f t="shared" si="10"/>
        <v>30798405.006240003</v>
      </c>
    </row>
    <row r="34" spans="1:20" hidden="1" x14ac:dyDescent="0.25">
      <c r="A34" s="62">
        <v>31</v>
      </c>
      <c r="B34" s="62" t="s">
        <v>144</v>
      </c>
      <c r="C34" s="60">
        <f t="shared" si="5"/>
        <v>633158.52</v>
      </c>
      <c r="D34" s="60">
        <v>65824.08</v>
      </c>
      <c r="E34" s="60">
        <v>113403.12</v>
      </c>
      <c r="F34" s="60">
        <v>3684699.28</v>
      </c>
      <c r="G34" s="60">
        <v>4497085</v>
      </c>
      <c r="H34" s="60">
        <f t="shared" si="6"/>
        <v>5396502</v>
      </c>
      <c r="I34" s="59">
        <v>31408325.109999999</v>
      </c>
      <c r="J34" s="59">
        <f t="shared" si="9"/>
        <v>12442430.665440001</v>
      </c>
      <c r="K34" s="39">
        <v>14.41</v>
      </c>
      <c r="L34" s="59">
        <f t="shared" si="0"/>
        <v>9123814.2731999997</v>
      </c>
      <c r="M34" s="39">
        <v>7.8</v>
      </c>
      <c r="N34" s="59">
        <f t="shared" si="1"/>
        <v>513427.82400000002</v>
      </c>
      <c r="O34" s="39">
        <v>6.45</v>
      </c>
      <c r="P34" s="59">
        <f t="shared" si="2"/>
        <v>731450.12399999995</v>
      </c>
      <c r="Q34" s="40">
        <v>5.71</v>
      </c>
      <c r="R34" s="59">
        <f t="shared" si="3"/>
        <v>21039632.888799999</v>
      </c>
      <c r="S34" s="59">
        <v>25247559.466559999</v>
      </c>
      <c r="T34" s="72">
        <f t="shared" si="10"/>
        <v>37689990.131999999</v>
      </c>
    </row>
    <row r="35" spans="1:20" hidden="1" x14ac:dyDescent="0.25">
      <c r="A35" s="62">
        <v>32</v>
      </c>
      <c r="B35" s="62" t="s">
        <v>145</v>
      </c>
      <c r="C35" s="60">
        <f t="shared" si="5"/>
        <v>1114015.3599999994</v>
      </c>
      <c r="D35" s="60">
        <v>82664.539999999994</v>
      </c>
      <c r="E35" s="60">
        <v>223825.16</v>
      </c>
      <c r="F35" s="60">
        <v>6239632.9400000004</v>
      </c>
      <c r="G35" s="60">
        <v>7660138</v>
      </c>
      <c r="H35" s="60">
        <f t="shared" si="6"/>
        <v>9192165.5999999996</v>
      </c>
      <c r="I35" s="59">
        <v>53769721.118999995</v>
      </c>
      <c r="J35" s="59">
        <f t="shared" si="9"/>
        <v>21769700.437919989</v>
      </c>
      <c r="K35" s="39">
        <v>14.41</v>
      </c>
      <c r="L35" s="59">
        <f t="shared" ref="L35:L66" si="11">C35*K35</f>
        <v>16052961.337599991</v>
      </c>
      <c r="M35" s="39">
        <v>7.8</v>
      </c>
      <c r="N35" s="59">
        <f t="shared" ref="N35:N66" si="12">D35*M35</f>
        <v>644783.41199999989</v>
      </c>
      <c r="O35" s="39">
        <v>6.45</v>
      </c>
      <c r="P35" s="59">
        <f t="shared" ref="P35:P66" si="13">E35*O35</f>
        <v>1443672.2820000001</v>
      </c>
      <c r="Q35" s="40">
        <v>5.71</v>
      </c>
      <c r="R35" s="59">
        <f t="shared" ref="R35:R66" si="14">F35*Q35</f>
        <v>35628304.087400004</v>
      </c>
      <c r="S35" s="59">
        <v>42753964.904880002</v>
      </c>
      <c r="T35" s="72">
        <f t="shared" si="10"/>
        <v>64523665.342799991</v>
      </c>
    </row>
    <row r="36" spans="1:20" hidden="1" x14ac:dyDescent="0.25">
      <c r="A36" s="62">
        <v>33</v>
      </c>
      <c r="B36" s="62" t="s">
        <v>146</v>
      </c>
      <c r="C36" s="60">
        <f t="shared" si="5"/>
        <v>475386.12000000011</v>
      </c>
      <c r="D36" s="60">
        <v>53067.199999999997</v>
      </c>
      <c r="E36" s="60">
        <v>112921.88</v>
      </c>
      <c r="F36" s="60">
        <v>3153399.28</v>
      </c>
      <c r="G36" s="60">
        <v>3794774.48</v>
      </c>
      <c r="H36" s="60">
        <f t="shared" si="6"/>
        <v>4553729.3760000002</v>
      </c>
      <c r="I36" s="59">
        <v>25998494.164000001</v>
      </c>
      <c r="J36" s="59">
        <f t="shared" si="9"/>
        <v>9591101.1302400008</v>
      </c>
      <c r="K36" s="39">
        <v>14.41</v>
      </c>
      <c r="L36" s="59">
        <f t="shared" si="11"/>
        <v>6850313.9892000016</v>
      </c>
      <c r="M36" s="39">
        <v>7.8</v>
      </c>
      <c r="N36" s="59">
        <f t="shared" si="12"/>
        <v>413924.16</v>
      </c>
      <c r="O36" s="39">
        <v>6.45</v>
      </c>
      <c r="P36" s="59">
        <f t="shared" si="13"/>
        <v>728346.12600000005</v>
      </c>
      <c r="Q36" s="40">
        <v>5.71</v>
      </c>
      <c r="R36" s="59">
        <f t="shared" si="14"/>
        <v>18005909.888799999</v>
      </c>
      <c r="S36" s="59">
        <v>21607091.866559997</v>
      </c>
      <c r="T36" s="72">
        <f t="shared" si="10"/>
        <v>31198192.996799998</v>
      </c>
    </row>
    <row r="37" spans="1:20" hidden="1" x14ac:dyDescent="0.25">
      <c r="A37" s="62">
        <v>34</v>
      </c>
      <c r="B37" s="62" t="s">
        <v>147</v>
      </c>
      <c r="C37" s="60">
        <f t="shared" si="5"/>
        <v>357369.05000000028</v>
      </c>
      <c r="D37" s="60">
        <v>40906.03</v>
      </c>
      <c r="E37" s="60">
        <v>111464.44</v>
      </c>
      <c r="F37" s="60">
        <v>2056916.83</v>
      </c>
      <c r="G37" s="60">
        <v>2566656.35</v>
      </c>
      <c r="H37" s="60">
        <f t="shared" si="6"/>
        <v>3079987.62</v>
      </c>
      <c r="I37" s="59">
        <v>17932695.781800006</v>
      </c>
      <c r="J37" s="59">
        <f t="shared" si="9"/>
        <v>7425240.8190000057</v>
      </c>
      <c r="K37" s="39">
        <v>14.41</v>
      </c>
      <c r="L37" s="59">
        <f t="shared" si="11"/>
        <v>5149688.0105000045</v>
      </c>
      <c r="M37" s="39">
        <v>7.8</v>
      </c>
      <c r="N37" s="59">
        <f t="shared" si="12"/>
        <v>319067.03399999999</v>
      </c>
      <c r="O37" s="39">
        <v>6.45</v>
      </c>
      <c r="P37" s="59">
        <f t="shared" si="13"/>
        <v>718945.63800000004</v>
      </c>
      <c r="Q37" s="40">
        <v>5.71</v>
      </c>
      <c r="R37" s="59">
        <f t="shared" si="14"/>
        <v>11744995.099300001</v>
      </c>
      <c r="S37" s="59">
        <v>14093994.11916</v>
      </c>
      <c r="T37" s="72">
        <f t="shared" si="10"/>
        <v>21519234.938160006</v>
      </c>
    </row>
    <row r="38" spans="1:20" hidden="1" x14ac:dyDescent="0.25">
      <c r="A38" s="62">
        <v>35</v>
      </c>
      <c r="B38" s="62" t="s">
        <v>148</v>
      </c>
      <c r="C38" s="60">
        <f t="shared" si="5"/>
        <v>40934.960000000021</v>
      </c>
      <c r="D38" s="60">
        <v>3401.01</v>
      </c>
      <c r="E38" s="60">
        <v>13321.61</v>
      </c>
      <c r="F38" s="60">
        <v>225889.8</v>
      </c>
      <c r="G38" s="60">
        <v>283547.38</v>
      </c>
      <c r="H38" s="60">
        <f t="shared" si="6"/>
        <v>340256.85599999997</v>
      </c>
      <c r="I38" s="59">
        <v>1992155.7941000003</v>
      </c>
      <c r="J38" s="59">
        <f t="shared" si="9"/>
        <v>842790.04332000017</v>
      </c>
      <c r="K38" s="39">
        <v>14.41</v>
      </c>
      <c r="L38" s="59">
        <f t="shared" si="11"/>
        <v>589872.77360000031</v>
      </c>
      <c r="M38" s="39">
        <v>7.8</v>
      </c>
      <c r="N38" s="59">
        <f t="shared" si="12"/>
        <v>26527.878000000001</v>
      </c>
      <c r="O38" s="39">
        <v>6.45</v>
      </c>
      <c r="P38" s="59">
        <f t="shared" si="13"/>
        <v>85924.3845</v>
      </c>
      <c r="Q38" s="40">
        <v>5.71</v>
      </c>
      <c r="R38" s="59">
        <f t="shared" si="14"/>
        <v>1289830.7579999999</v>
      </c>
      <c r="S38" s="59">
        <v>1547796.9095999999</v>
      </c>
      <c r="T38" s="72">
        <f t="shared" si="10"/>
        <v>2390586.9529200001</v>
      </c>
    </row>
    <row r="39" spans="1:20" hidden="1" x14ac:dyDescent="0.25">
      <c r="A39" s="62">
        <v>36</v>
      </c>
      <c r="B39" s="62" t="s">
        <v>149</v>
      </c>
      <c r="C39" s="60">
        <f t="shared" si="5"/>
        <v>16131.400000000001</v>
      </c>
      <c r="D39" s="60">
        <v>1992.67</v>
      </c>
      <c r="E39" s="60">
        <v>13321.61</v>
      </c>
      <c r="F39" s="60">
        <v>46983.82</v>
      </c>
      <c r="G39" s="60">
        <v>78429.5</v>
      </c>
      <c r="H39" s="60">
        <f t="shared" si="6"/>
        <v>94115.4</v>
      </c>
      <c r="I39" s="59">
        <v>602198.29670000006</v>
      </c>
      <c r="J39" s="59">
        <f t="shared" si="9"/>
        <v>400704.82140000013</v>
      </c>
      <c r="K39" s="39">
        <v>14.41</v>
      </c>
      <c r="L39" s="59">
        <f t="shared" si="11"/>
        <v>232453.47400000002</v>
      </c>
      <c r="M39" s="39">
        <v>7.8</v>
      </c>
      <c r="N39" s="59">
        <f t="shared" si="12"/>
        <v>15542.826000000001</v>
      </c>
      <c r="O39" s="39">
        <v>6.45</v>
      </c>
      <c r="P39" s="59">
        <f t="shared" si="13"/>
        <v>85924.3845</v>
      </c>
      <c r="Q39" s="40">
        <v>5.71</v>
      </c>
      <c r="R39" s="59">
        <f t="shared" si="14"/>
        <v>268277.61219999997</v>
      </c>
      <c r="S39" s="59">
        <v>321933.13463999995</v>
      </c>
      <c r="T39" s="72">
        <f t="shared" si="10"/>
        <v>722637.95604000008</v>
      </c>
    </row>
    <row r="40" spans="1:20" hidden="1" x14ac:dyDescent="0.25">
      <c r="A40" s="62">
        <v>37</v>
      </c>
      <c r="B40" s="62" t="s">
        <v>150</v>
      </c>
      <c r="C40" s="60">
        <f t="shared" si="5"/>
        <v>37254.920000000042</v>
      </c>
      <c r="D40" s="60">
        <v>2286.4899999999998</v>
      </c>
      <c r="E40" s="60">
        <v>13321.61</v>
      </c>
      <c r="F40" s="60">
        <v>207089.37</v>
      </c>
      <c r="G40" s="60">
        <v>259952.39</v>
      </c>
      <c r="H40" s="60">
        <f t="shared" si="6"/>
        <v>311942.86800000002</v>
      </c>
      <c r="I40" s="59">
        <v>1823082.7064000005</v>
      </c>
      <c r="J40" s="59">
        <f t="shared" si="9"/>
        <v>768722.88444000063</v>
      </c>
      <c r="K40" s="39">
        <v>14.41</v>
      </c>
      <c r="L40" s="59">
        <f t="shared" si="11"/>
        <v>536843.39720000059</v>
      </c>
      <c r="M40" s="39">
        <v>7.8</v>
      </c>
      <c r="N40" s="59">
        <f t="shared" si="12"/>
        <v>17834.621999999999</v>
      </c>
      <c r="O40" s="39">
        <v>6.45</v>
      </c>
      <c r="P40" s="59">
        <f t="shared" si="13"/>
        <v>85924.3845</v>
      </c>
      <c r="Q40" s="40">
        <v>5.71</v>
      </c>
      <c r="R40" s="59">
        <f t="shared" si="14"/>
        <v>1182480.3026999999</v>
      </c>
      <c r="S40" s="59">
        <v>1418976.3632399999</v>
      </c>
      <c r="T40" s="72">
        <f t="shared" si="10"/>
        <v>2187699.2476800005</v>
      </c>
    </row>
    <row r="41" spans="1:20" hidden="1" x14ac:dyDescent="0.25">
      <c r="A41" s="62">
        <v>38</v>
      </c>
      <c r="B41" s="62" t="s">
        <v>86</v>
      </c>
      <c r="C41" s="60">
        <f t="shared" si="5"/>
        <v>25730.209999999992</v>
      </c>
      <c r="D41" s="60">
        <v>1138.1600000000001</v>
      </c>
      <c r="E41" s="60">
        <v>25716.22</v>
      </c>
      <c r="F41" s="60"/>
      <c r="G41" s="60">
        <v>52584.59</v>
      </c>
      <c r="H41" s="60">
        <f t="shared" si="6"/>
        <v>63101.507999999994</v>
      </c>
      <c r="I41" s="59">
        <v>545519.59309999994</v>
      </c>
      <c r="J41" s="59">
        <f t="shared" si="8"/>
        <v>654623.51171999995</v>
      </c>
      <c r="K41" s="39">
        <v>14.41</v>
      </c>
      <c r="L41" s="59">
        <f t="shared" si="11"/>
        <v>370772.32609999989</v>
      </c>
      <c r="M41" s="39">
        <v>7.8</v>
      </c>
      <c r="N41" s="59">
        <f t="shared" si="12"/>
        <v>8877.648000000001</v>
      </c>
      <c r="O41" s="39">
        <v>6.45</v>
      </c>
      <c r="P41" s="59">
        <f t="shared" si="13"/>
        <v>165869.61900000001</v>
      </c>
      <c r="Q41" s="40">
        <v>5.71</v>
      </c>
      <c r="R41" s="59">
        <f t="shared" si="14"/>
        <v>0</v>
      </c>
      <c r="S41" s="59">
        <v>0</v>
      </c>
      <c r="T41" s="72">
        <f t="shared" si="10"/>
        <v>654623.51171999995</v>
      </c>
    </row>
    <row r="42" spans="1:20" hidden="1" x14ac:dyDescent="0.25">
      <c r="A42" s="62">
        <v>39</v>
      </c>
      <c r="B42" s="62" t="s">
        <v>151</v>
      </c>
      <c r="C42" s="60">
        <f t="shared" si="5"/>
        <v>7426.1900000000023</v>
      </c>
      <c r="D42" s="60">
        <v>171.85</v>
      </c>
      <c r="E42" s="60">
        <v>1470.07</v>
      </c>
      <c r="F42" s="60">
        <v>31693.25</v>
      </c>
      <c r="G42" s="60">
        <v>40761.360000000001</v>
      </c>
      <c r="H42" s="60">
        <f t="shared" si="6"/>
        <v>48913.631999999998</v>
      </c>
      <c r="I42" s="59">
        <v>298802.23690000002</v>
      </c>
      <c r="J42" s="59">
        <f>I42*1.2</f>
        <v>358562.68427999999</v>
      </c>
      <c r="K42" s="39">
        <v>14.41</v>
      </c>
      <c r="L42" s="59">
        <f t="shared" si="11"/>
        <v>107011.39790000004</v>
      </c>
      <c r="M42" s="39">
        <v>7.8</v>
      </c>
      <c r="N42" s="59">
        <f t="shared" si="12"/>
        <v>1340.4299999999998</v>
      </c>
      <c r="O42" s="39">
        <v>6.45</v>
      </c>
      <c r="P42" s="59">
        <f t="shared" si="13"/>
        <v>9481.9514999999992</v>
      </c>
      <c r="Q42" s="40">
        <v>5.71</v>
      </c>
      <c r="R42" s="59">
        <v>0</v>
      </c>
      <c r="S42" s="59">
        <v>0</v>
      </c>
      <c r="T42" s="72">
        <f t="shared" si="10"/>
        <v>358562.68427999999</v>
      </c>
    </row>
    <row r="43" spans="1:20" hidden="1" x14ac:dyDescent="0.25">
      <c r="A43" s="62">
        <v>40</v>
      </c>
      <c r="B43" s="62" t="s">
        <v>152</v>
      </c>
      <c r="C43" s="60">
        <f t="shared" si="5"/>
        <v>8519.07</v>
      </c>
      <c r="D43" s="60">
        <v>171.85</v>
      </c>
      <c r="E43" s="60">
        <v>1470.07</v>
      </c>
      <c r="F43" s="60">
        <v>40822.19</v>
      </c>
      <c r="G43" s="60">
        <v>50983.18</v>
      </c>
      <c r="H43" s="60">
        <f t="shared" si="6"/>
        <v>61179.815999999999</v>
      </c>
      <c r="I43" s="59">
        <v>366676.88510000001</v>
      </c>
      <c r="J43" s="59">
        <f t="shared" ref="J43:J44" si="15">I43*1.2</f>
        <v>440012.26212000003</v>
      </c>
      <c r="K43" s="39">
        <v>14.41</v>
      </c>
      <c r="L43" s="59">
        <f t="shared" si="11"/>
        <v>122759.7987</v>
      </c>
      <c r="M43" s="39">
        <v>7.8</v>
      </c>
      <c r="N43" s="59">
        <f t="shared" si="12"/>
        <v>1340.4299999999998</v>
      </c>
      <c r="O43" s="39">
        <v>6.45</v>
      </c>
      <c r="P43" s="59">
        <f t="shared" si="13"/>
        <v>9481.9514999999992</v>
      </c>
      <c r="Q43" s="40">
        <v>5.71</v>
      </c>
      <c r="R43" s="59">
        <v>0</v>
      </c>
      <c r="S43" s="59">
        <v>0</v>
      </c>
      <c r="T43" s="72">
        <f t="shared" si="10"/>
        <v>440012.26212000003</v>
      </c>
    </row>
    <row r="44" spans="1:20" hidden="1" x14ac:dyDescent="0.25">
      <c r="A44" s="62">
        <v>41</v>
      </c>
      <c r="B44" s="62" t="s">
        <v>153</v>
      </c>
      <c r="C44" s="60">
        <f t="shared" si="5"/>
        <v>9944.2199999999939</v>
      </c>
      <c r="D44" s="60">
        <v>173.55</v>
      </c>
      <c r="E44" s="60">
        <v>1609.02</v>
      </c>
      <c r="F44" s="60">
        <v>46977.91</v>
      </c>
      <c r="G44" s="60">
        <v>58704.7</v>
      </c>
      <c r="H44" s="60">
        <f t="shared" si="6"/>
        <v>70445.64</v>
      </c>
      <c r="I44" s="59">
        <v>423271.94529999996</v>
      </c>
      <c r="J44" s="59">
        <f t="shared" si="15"/>
        <v>507926.33435999992</v>
      </c>
      <c r="K44" s="39">
        <v>14.41</v>
      </c>
      <c r="L44" s="59">
        <f t="shared" si="11"/>
        <v>143296.21019999991</v>
      </c>
      <c r="M44" s="39">
        <v>7.8</v>
      </c>
      <c r="N44" s="59">
        <f t="shared" si="12"/>
        <v>1353.69</v>
      </c>
      <c r="O44" s="39">
        <v>6.45</v>
      </c>
      <c r="P44" s="59">
        <f t="shared" si="13"/>
        <v>10378.179</v>
      </c>
      <c r="Q44" s="40">
        <v>5.71</v>
      </c>
      <c r="R44" s="59">
        <v>0</v>
      </c>
      <c r="S44" s="59">
        <v>0</v>
      </c>
      <c r="T44" s="72">
        <f t="shared" si="10"/>
        <v>507926.33435999992</v>
      </c>
    </row>
    <row r="45" spans="1:20" hidden="1" x14ac:dyDescent="0.25">
      <c r="A45" s="62">
        <v>42</v>
      </c>
      <c r="B45" s="62" t="s">
        <v>154</v>
      </c>
      <c r="C45" s="60">
        <f t="shared" si="5"/>
        <v>42057.22000000003</v>
      </c>
      <c r="D45" s="60">
        <v>4928.8</v>
      </c>
      <c r="E45" s="60">
        <v>3196</v>
      </c>
      <c r="F45" s="60">
        <v>302156.88</v>
      </c>
      <c r="G45" s="60">
        <v>352338.9</v>
      </c>
      <c r="H45" s="60">
        <f t="shared" si="6"/>
        <v>422806.68</v>
      </c>
      <c r="I45" s="59">
        <v>2390419.1650000005</v>
      </c>
      <c r="J45" s="59">
        <f t="shared" ref="J45:J67" si="16">T45-S45</f>
        <v>798124.05624000053</v>
      </c>
      <c r="K45" s="39">
        <v>14.41</v>
      </c>
      <c r="L45" s="59">
        <f t="shared" si="11"/>
        <v>606044.5402000004</v>
      </c>
      <c r="M45" s="39">
        <v>7.8</v>
      </c>
      <c r="N45" s="59">
        <f t="shared" si="12"/>
        <v>38444.639999999999</v>
      </c>
      <c r="O45" s="39">
        <v>6.45</v>
      </c>
      <c r="P45" s="59">
        <f t="shared" si="13"/>
        <v>20614.2</v>
      </c>
      <c r="Q45" s="40">
        <v>5.71</v>
      </c>
      <c r="R45" s="59">
        <f t="shared" si="14"/>
        <v>1725315.7848</v>
      </c>
      <c r="S45" s="59">
        <v>2070378.9417600001</v>
      </c>
      <c r="T45" s="72">
        <f t="shared" si="10"/>
        <v>2868502.9980000006</v>
      </c>
    </row>
    <row r="46" spans="1:20" hidden="1" x14ac:dyDescent="0.25">
      <c r="A46" s="62">
        <v>43</v>
      </c>
      <c r="B46" s="62" t="s">
        <v>155</v>
      </c>
      <c r="C46" s="60">
        <f t="shared" si="5"/>
        <v>32571.280000000028</v>
      </c>
      <c r="D46" s="60">
        <v>4680.34</v>
      </c>
      <c r="E46" s="60">
        <v>2439.1</v>
      </c>
      <c r="F46" s="60">
        <v>226257.74</v>
      </c>
      <c r="G46" s="60">
        <v>265948.46000000002</v>
      </c>
      <c r="H46" s="60">
        <f t="shared" si="6"/>
        <v>319138.152</v>
      </c>
      <c r="I46" s="59">
        <v>1813522.6872000003</v>
      </c>
      <c r="J46" s="59">
        <f t="shared" si="16"/>
        <v>625909.19016000023</v>
      </c>
      <c r="K46" s="39">
        <v>14.41</v>
      </c>
      <c r="L46" s="59">
        <f t="shared" si="11"/>
        <v>469352.14480000042</v>
      </c>
      <c r="M46" s="39">
        <v>7.8</v>
      </c>
      <c r="N46" s="59">
        <f t="shared" si="12"/>
        <v>36506.652000000002</v>
      </c>
      <c r="O46" s="39">
        <v>6.45</v>
      </c>
      <c r="P46" s="59">
        <f t="shared" si="13"/>
        <v>15732.195</v>
      </c>
      <c r="Q46" s="40">
        <v>5.71</v>
      </c>
      <c r="R46" s="59">
        <f t="shared" si="14"/>
        <v>1291931.6953999999</v>
      </c>
      <c r="S46" s="59">
        <v>1550318.0344799999</v>
      </c>
      <c r="T46" s="72">
        <f t="shared" si="10"/>
        <v>2176227.2246400001</v>
      </c>
    </row>
    <row r="47" spans="1:20" hidden="1" x14ac:dyDescent="0.25">
      <c r="A47" s="62">
        <v>44</v>
      </c>
      <c r="B47" s="62" t="s">
        <v>156</v>
      </c>
      <c r="C47" s="60">
        <f>G47-D47-E47-F47</f>
        <v>27279.350000000006</v>
      </c>
      <c r="D47" s="60">
        <v>4680.34</v>
      </c>
      <c r="E47" s="60">
        <v>1556.84</v>
      </c>
      <c r="F47" s="60">
        <v>147021.03</v>
      </c>
      <c r="G47" s="60">
        <v>180537.56</v>
      </c>
      <c r="H47" s="60">
        <f t="shared" si="6"/>
        <v>216645.07199999999</v>
      </c>
      <c r="I47" s="59">
        <v>1279133.7848</v>
      </c>
      <c r="J47" s="59">
        <f t="shared" si="16"/>
        <v>527572.44420000003</v>
      </c>
      <c r="K47" s="39">
        <v>14.41</v>
      </c>
      <c r="L47" s="59">
        <f t="shared" si="11"/>
        <v>393095.4335000001</v>
      </c>
      <c r="M47" s="39">
        <v>7.8</v>
      </c>
      <c r="N47" s="59">
        <f t="shared" si="12"/>
        <v>36506.652000000002</v>
      </c>
      <c r="O47" s="39">
        <v>6.45</v>
      </c>
      <c r="P47" s="59">
        <f t="shared" si="13"/>
        <v>10041.618</v>
      </c>
      <c r="Q47" s="40">
        <v>5.71</v>
      </c>
      <c r="R47" s="59">
        <f t="shared" si="14"/>
        <v>839490.08129999996</v>
      </c>
      <c r="S47" s="59">
        <v>1007388.0975599999</v>
      </c>
      <c r="T47" s="72">
        <f t="shared" si="10"/>
        <v>1534960.5417599999</v>
      </c>
    </row>
    <row r="48" spans="1:20" hidden="1" x14ac:dyDescent="0.25">
      <c r="A48" s="62">
        <v>45</v>
      </c>
      <c r="B48" s="62" t="s">
        <v>157</v>
      </c>
      <c r="C48" s="60">
        <f>G48-D48-E48-F48</f>
        <v>26735.300000000017</v>
      </c>
      <c r="D48" s="60">
        <v>4680.34</v>
      </c>
      <c r="E48" s="60">
        <v>984.75</v>
      </c>
      <c r="F48" s="60">
        <v>122595.37</v>
      </c>
      <c r="G48" s="60">
        <v>154995.76</v>
      </c>
      <c r="H48" s="60">
        <f t="shared" si="6"/>
        <v>185994.91200000001</v>
      </c>
      <c r="I48" s="59">
        <v>1128133.5252000003</v>
      </c>
      <c r="J48" s="59">
        <f t="shared" si="16"/>
        <v>513736.75500000012</v>
      </c>
      <c r="K48" s="39">
        <v>14.41</v>
      </c>
      <c r="L48" s="59">
        <f t="shared" si="11"/>
        <v>385255.67300000024</v>
      </c>
      <c r="M48" s="39">
        <v>7.8</v>
      </c>
      <c r="N48" s="59">
        <f t="shared" si="12"/>
        <v>36506.652000000002</v>
      </c>
      <c r="O48" s="39">
        <v>6.45</v>
      </c>
      <c r="P48" s="59">
        <f t="shared" si="13"/>
        <v>6351.6374999999998</v>
      </c>
      <c r="Q48" s="40">
        <v>5.71</v>
      </c>
      <c r="R48" s="59">
        <f t="shared" si="14"/>
        <v>700019.56270000001</v>
      </c>
      <c r="S48" s="59">
        <v>840023.47524000006</v>
      </c>
      <c r="T48" s="72">
        <f t="shared" si="10"/>
        <v>1353760.2302400002</v>
      </c>
    </row>
    <row r="49" spans="1:20" hidden="1" x14ac:dyDescent="0.25">
      <c r="A49" s="62">
        <v>46</v>
      </c>
      <c r="B49" s="62" t="s">
        <v>158</v>
      </c>
      <c r="C49" s="60">
        <f t="shared" si="5"/>
        <v>18930.160000000003</v>
      </c>
      <c r="D49" s="60">
        <v>2372.21</v>
      </c>
      <c r="E49" s="60">
        <v>854.65</v>
      </c>
      <c r="F49" s="60">
        <v>89132.45</v>
      </c>
      <c r="G49" s="60">
        <v>111289.47</v>
      </c>
      <c r="H49" s="60">
        <f t="shared" si="6"/>
        <v>133547.364</v>
      </c>
      <c r="I49" s="59">
        <v>805745.62560000003</v>
      </c>
      <c r="J49" s="59">
        <f t="shared" si="16"/>
        <v>356159.20332000009</v>
      </c>
      <c r="K49" s="39">
        <v>14.41</v>
      </c>
      <c r="L49" s="59">
        <f t="shared" si="11"/>
        <v>272783.60560000007</v>
      </c>
      <c r="M49" s="39">
        <v>7.8</v>
      </c>
      <c r="N49" s="59">
        <f t="shared" si="12"/>
        <v>18503.238000000001</v>
      </c>
      <c r="O49" s="39">
        <v>6.45</v>
      </c>
      <c r="P49" s="59">
        <f t="shared" si="13"/>
        <v>5512.4925000000003</v>
      </c>
      <c r="Q49" s="40">
        <v>5.71</v>
      </c>
      <c r="R49" s="59">
        <f t="shared" si="14"/>
        <v>508946.28949999996</v>
      </c>
      <c r="S49" s="59">
        <v>610735.54739999992</v>
      </c>
      <c r="T49" s="72">
        <f t="shared" si="10"/>
        <v>966894.75072000001</v>
      </c>
    </row>
    <row r="50" spans="1:20" hidden="1" x14ac:dyDescent="0.25">
      <c r="A50" s="62">
        <v>47</v>
      </c>
      <c r="B50" s="62" t="s">
        <v>159</v>
      </c>
      <c r="C50" s="60">
        <f t="shared" si="5"/>
        <v>17448.12999999999</v>
      </c>
      <c r="D50" s="60">
        <v>2372.21</v>
      </c>
      <c r="E50" s="60">
        <v>864.25</v>
      </c>
      <c r="F50" s="60">
        <v>70235.95</v>
      </c>
      <c r="G50" s="60">
        <v>90920.54</v>
      </c>
      <c r="H50" s="60">
        <f t="shared" si="6"/>
        <v>109104.64799999999</v>
      </c>
      <c r="I50" s="59">
        <v>676552.47829999984</v>
      </c>
      <c r="J50" s="59">
        <f t="shared" si="16"/>
        <v>330606.24455999973</v>
      </c>
      <c r="K50" s="39">
        <v>14.41</v>
      </c>
      <c r="L50" s="59">
        <f t="shared" si="11"/>
        <v>251427.55329999985</v>
      </c>
      <c r="M50" s="39">
        <v>7.8</v>
      </c>
      <c r="N50" s="59">
        <f t="shared" si="12"/>
        <v>18503.238000000001</v>
      </c>
      <c r="O50" s="39">
        <v>6.45</v>
      </c>
      <c r="P50" s="59">
        <f t="shared" si="13"/>
        <v>5574.4125000000004</v>
      </c>
      <c r="Q50" s="40">
        <v>5.71</v>
      </c>
      <c r="R50" s="59">
        <f t="shared" si="14"/>
        <v>401047.2745</v>
      </c>
      <c r="S50" s="59">
        <v>481256.72940000001</v>
      </c>
      <c r="T50" s="72">
        <f t="shared" si="10"/>
        <v>811862.97395999974</v>
      </c>
    </row>
    <row r="51" spans="1:20" hidden="1" x14ac:dyDescent="0.25">
      <c r="A51" s="62">
        <v>48</v>
      </c>
      <c r="B51" s="62" t="s">
        <v>160</v>
      </c>
      <c r="C51" s="60">
        <f t="shared" si="5"/>
        <v>16256.700000000004</v>
      </c>
      <c r="D51" s="60">
        <v>2372.21</v>
      </c>
      <c r="E51" s="60">
        <v>860.17</v>
      </c>
      <c r="F51" s="60">
        <v>54893.24</v>
      </c>
      <c r="G51" s="60">
        <v>74382.320000000007</v>
      </c>
      <c r="H51" s="60">
        <f t="shared" si="6"/>
        <v>89258.784</v>
      </c>
      <c r="I51" s="59">
        <v>571750.78190000006</v>
      </c>
      <c r="J51" s="59">
        <f t="shared" si="16"/>
        <v>309972.45780000003</v>
      </c>
      <c r="K51" s="39">
        <v>14.41</v>
      </c>
      <c r="L51" s="59">
        <f t="shared" si="11"/>
        <v>234259.04700000008</v>
      </c>
      <c r="M51" s="39">
        <v>7.8</v>
      </c>
      <c r="N51" s="59">
        <f t="shared" si="12"/>
        <v>18503.238000000001</v>
      </c>
      <c r="O51" s="39">
        <v>6.45</v>
      </c>
      <c r="P51" s="59">
        <f t="shared" si="13"/>
        <v>5548.0964999999997</v>
      </c>
      <c r="Q51" s="40">
        <v>5.71</v>
      </c>
      <c r="R51" s="59">
        <f t="shared" si="14"/>
        <v>313440.40039999998</v>
      </c>
      <c r="S51" s="59">
        <v>376128.48047999997</v>
      </c>
      <c r="T51" s="72">
        <f t="shared" si="10"/>
        <v>686100.93828</v>
      </c>
    </row>
    <row r="52" spans="1:20" hidden="1" x14ac:dyDescent="0.25">
      <c r="A52" s="62">
        <v>49</v>
      </c>
      <c r="B52" s="62" t="s">
        <v>161</v>
      </c>
      <c r="C52" s="60">
        <f t="shared" si="5"/>
        <v>17371.280000000028</v>
      </c>
      <c r="D52" s="60">
        <v>2340.1799999999998</v>
      </c>
      <c r="E52" s="60">
        <v>124.56</v>
      </c>
      <c r="F52" s="60">
        <v>113115.68</v>
      </c>
      <c r="G52" s="60">
        <v>132951.70000000001</v>
      </c>
      <c r="H52" s="60">
        <f t="shared" si="6"/>
        <v>159542.04</v>
      </c>
      <c r="I52" s="59">
        <v>915267.49360000039</v>
      </c>
      <c r="J52" s="59">
        <f t="shared" si="16"/>
        <v>323252.35296000051</v>
      </c>
      <c r="K52" s="39">
        <v>14.41</v>
      </c>
      <c r="L52" s="59">
        <f t="shared" si="11"/>
        <v>250320.14480000042</v>
      </c>
      <c r="M52" s="39">
        <v>7.8</v>
      </c>
      <c r="N52" s="59">
        <f t="shared" si="12"/>
        <v>18253.403999999999</v>
      </c>
      <c r="O52" s="39">
        <v>6.45</v>
      </c>
      <c r="P52" s="59">
        <f t="shared" si="13"/>
        <v>803.41200000000003</v>
      </c>
      <c r="Q52" s="40">
        <v>5.71</v>
      </c>
      <c r="R52" s="59">
        <f t="shared" si="14"/>
        <v>645890.53279999993</v>
      </c>
      <c r="S52" s="59">
        <v>775068.63935999991</v>
      </c>
      <c r="T52" s="72">
        <f t="shared" si="10"/>
        <v>1098320.9923200004</v>
      </c>
    </row>
    <row r="53" spans="1:20" hidden="1" x14ac:dyDescent="0.25">
      <c r="A53" s="62">
        <v>50</v>
      </c>
      <c r="B53" s="62" t="s">
        <v>162</v>
      </c>
      <c r="C53" s="60">
        <f t="shared" si="5"/>
        <v>14416.460000000006</v>
      </c>
      <c r="D53" s="60">
        <v>2340.1799999999998</v>
      </c>
      <c r="E53" s="60">
        <v>124.56</v>
      </c>
      <c r="F53" s="60">
        <v>73510.52</v>
      </c>
      <c r="G53" s="60">
        <v>90391.72</v>
      </c>
      <c r="H53" s="60">
        <f t="shared" si="6"/>
        <v>108470.064</v>
      </c>
      <c r="I53" s="59">
        <v>646543.07380000013</v>
      </c>
      <c r="J53" s="59">
        <f t="shared" si="16"/>
        <v>272157.6055200001</v>
      </c>
      <c r="K53" s="39">
        <v>14.41</v>
      </c>
      <c r="L53" s="59">
        <f t="shared" si="11"/>
        <v>207741.18860000008</v>
      </c>
      <c r="M53" s="39">
        <v>7.8</v>
      </c>
      <c r="N53" s="59">
        <f t="shared" si="12"/>
        <v>18253.403999999999</v>
      </c>
      <c r="O53" s="39">
        <v>6.45</v>
      </c>
      <c r="P53" s="59">
        <f t="shared" si="13"/>
        <v>803.41200000000003</v>
      </c>
      <c r="Q53" s="40">
        <v>5.71</v>
      </c>
      <c r="R53" s="59">
        <f t="shared" si="14"/>
        <v>419745.06920000003</v>
      </c>
      <c r="S53" s="59">
        <v>503694.08304000006</v>
      </c>
      <c r="T53" s="72">
        <f t="shared" si="10"/>
        <v>775851.68856000016</v>
      </c>
    </row>
    <row r="54" spans="1:20" hidden="1" x14ac:dyDescent="0.25">
      <c r="A54" s="62">
        <v>51</v>
      </c>
      <c r="B54" s="62" t="s">
        <v>163</v>
      </c>
      <c r="C54" s="60">
        <f t="shared" si="5"/>
        <v>13858.37000000001</v>
      </c>
      <c r="D54" s="60">
        <v>2340.1799999999998</v>
      </c>
      <c r="E54" s="60">
        <v>124.56</v>
      </c>
      <c r="F54" s="60">
        <v>61297.69</v>
      </c>
      <c r="G54" s="60">
        <v>77620.800000000003</v>
      </c>
      <c r="H54" s="60">
        <f t="shared" si="6"/>
        <v>93144.960000000006</v>
      </c>
      <c r="I54" s="59">
        <v>568765.73760000011</v>
      </c>
      <c r="J54" s="59">
        <f t="shared" si="16"/>
        <v>262507.11324000009</v>
      </c>
      <c r="K54" s="39">
        <v>14.41</v>
      </c>
      <c r="L54" s="59">
        <f t="shared" si="11"/>
        <v>199699.11170000015</v>
      </c>
      <c r="M54" s="39">
        <v>7.8</v>
      </c>
      <c r="N54" s="59">
        <f t="shared" si="12"/>
        <v>18253.403999999999</v>
      </c>
      <c r="O54" s="39">
        <v>6.45</v>
      </c>
      <c r="P54" s="59">
        <f t="shared" si="13"/>
        <v>803.41200000000003</v>
      </c>
      <c r="Q54" s="40">
        <v>5.71</v>
      </c>
      <c r="R54" s="59">
        <f t="shared" si="14"/>
        <v>350009.80989999999</v>
      </c>
      <c r="S54" s="59">
        <v>420011.77188000001</v>
      </c>
      <c r="T54" s="72">
        <f t="shared" si="10"/>
        <v>682518.88512000011</v>
      </c>
    </row>
    <row r="55" spans="1:20" hidden="1" x14ac:dyDescent="0.25">
      <c r="A55" s="62">
        <v>52</v>
      </c>
      <c r="B55" s="62" t="s">
        <v>164</v>
      </c>
      <c r="C55" s="60">
        <f t="shared" si="5"/>
        <v>10076.449999999997</v>
      </c>
      <c r="D55" s="60">
        <v>1186.1199999999999</v>
      </c>
      <c r="E55" s="60">
        <v>112.47</v>
      </c>
      <c r="F55" s="60">
        <v>46794.54</v>
      </c>
      <c r="G55" s="60">
        <v>58169.58</v>
      </c>
      <c r="H55" s="60">
        <f t="shared" si="6"/>
        <v>69803.495999999999</v>
      </c>
      <c r="I55" s="59">
        <v>422375.63539999997</v>
      </c>
      <c r="J55" s="59">
        <f t="shared" si="16"/>
        <v>186214.57439999992</v>
      </c>
      <c r="K55" s="39">
        <v>14.41</v>
      </c>
      <c r="L55" s="59">
        <f t="shared" si="11"/>
        <v>145201.64449999997</v>
      </c>
      <c r="M55" s="39">
        <v>7.8</v>
      </c>
      <c r="N55" s="59">
        <f t="shared" si="12"/>
        <v>9251.735999999999</v>
      </c>
      <c r="O55" s="39">
        <v>6.45</v>
      </c>
      <c r="P55" s="59">
        <f t="shared" si="13"/>
        <v>725.43150000000003</v>
      </c>
      <c r="Q55" s="40">
        <v>5.71</v>
      </c>
      <c r="R55" s="59">
        <f t="shared" si="14"/>
        <v>267196.82339999999</v>
      </c>
      <c r="S55" s="59">
        <v>320636.18807999999</v>
      </c>
      <c r="T55" s="72">
        <f t="shared" si="10"/>
        <v>506850.76247999992</v>
      </c>
    </row>
    <row r="56" spans="1:20" hidden="1" x14ac:dyDescent="0.25">
      <c r="A56" s="62">
        <v>53</v>
      </c>
      <c r="B56" s="62" t="s">
        <v>165</v>
      </c>
      <c r="C56" s="60">
        <f t="shared" si="5"/>
        <v>9166.6099999999933</v>
      </c>
      <c r="D56" s="60">
        <v>1186.1199999999999</v>
      </c>
      <c r="E56" s="60">
        <v>112.47</v>
      </c>
      <c r="F56" s="60">
        <v>35117.980000000003</v>
      </c>
      <c r="G56" s="60">
        <v>45583.18</v>
      </c>
      <c r="H56" s="60">
        <f t="shared" si="6"/>
        <v>54699.815999999999</v>
      </c>
      <c r="I56" s="59">
        <v>342591.68339999992</v>
      </c>
      <c r="J56" s="59">
        <f t="shared" si="16"/>
        <v>170481.62111999985</v>
      </c>
      <c r="K56" s="39">
        <v>14.41</v>
      </c>
      <c r="L56" s="59">
        <f t="shared" si="11"/>
        <v>132090.85009999989</v>
      </c>
      <c r="M56" s="39">
        <v>7.8</v>
      </c>
      <c r="N56" s="59">
        <f t="shared" si="12"/>
        <v>9251.735999999999</v>
      </c>
      <c r="O56" s="39">
        <v>6.45</v>
      </c>
      <c r="P56" s="59">
        <f t="shared" si="13"/>
        <v>725.43150000000003</v>
      </c>
      <c r="Q56" s="40">
        <v>5.71</v>
      </c>
      <c r="R56" s="59">
        <f t="shared" si="14"/>
        <v>200523.66580000002</v>
      </c>
      <c r="S56" s="59">
        <v>240628.39896000002</v>
      </c>
      <c r="T56" s="72">
        <f t="shared" si="10"/>
        <v>411110.02007999987</v>
      </c>
    </row>
    <row r="57" spans="1:20" hidden="1" x14ac:dyDescent="0.25">
      <c r="A57" s="62">
        <v>54</v>
      </c>
      <c r="B57" s="62" t="s">
        <v>166</v>
      </c>
      <c r="C57" s="60">
        <f t="shared" si="5"/>
        <v>8923.8699999999953</v>
      </c>
      <c r="D57" s="60">
        <v>1186.1199999999999</v>
      </c>
      <c r="E57" s="60">
        <v>99.57</v>
      </c>
      <c r="F57" s="60">
        <v>27446.61</v>
      </c>
      <c r="G57" s="60">
        <v>37656.17</v>
      </c>
      <c r="H57" s="60">
        <f t="shared" si="6"/>
        <v>45187.403999999995</v>
      </c>
      <c r="I57" s="59">
        <v>295207.07229999994</v>
      </c>
      <c r="J57" s="59">
        <f t="shared" si="16"/>
        <v>166184.31503999993</v>
      </c>
      <c r="K57" s="39">
        <v>14.41</v>
      </c>
      <c r="L57" s="59">
        <f t="shared" si="11"/>
        <v>128592.96669999993</v>
      </c>
      <c r="M57" s="39">
        <v>7.8</v>
      </c>
      <c r="N57" s="59">
        <f t="shared" si="12"/>
        <v>9251.735999999999</v>
      </c>
      <c r="O57" s="39">
        <v>6.45</v>
      </c>
      <c r="P57" s="59">
        <f t="shared" si="13"/>
        <v>642.22649999999999</v>
      </c>
      <c r="Q57" s="40">
        <v>5.71</v>
      </c>
      <c r="R57" s="59">
        <f t="shared" si="14"/>
        <v>156720.14310000002</v>
      </c>
      <c r="S57" s="59">
        <v>188064.17172000001</v>
      </c>
      <c r="T57" s="72">
        <f t="shared" si="10"/>
        <v>354248.48675999994</v>
      </c>
    </row>
    <row r="58" spans="1:20" hidden="1" x14ac:dyDescent="0.25">
      <c r="A58" s="62">
        <v>55</v>
      </c>
      <c r="B58" s="62" t="s">
        <v>167</v>
      </c>
      <c r="C58" s="60">
        <f t="shared" si="5"/>
        <v>7046.2599999999948</v>
      </c>
      <c r="D58" s="60">
        <v>327.41000000000003</v>
      </c>
      <c r="E58" s="60">
        <v>680.9</v>
      </c>
      <c r="F58" s="60">
        <v>34289.230000000003</v>
      </c>
      <c r="G58" s="60">
        <v>42343.8</v>
      </c>
      <c r="H58" s="60">
        <f t="shared" si="6"/>
        <v>50812.560000000005</v>
      </c>
      <c r="I58" s="59">
        <v>304273.71289999993</v>
      </c>
      <c r="J58" s="59">
        <f t="shared" si="16"/>
        <v>130178.65151999987</v>
      </c>
      <c r="K58" s="39">
        <v>14.41</v>
      </c>
      <c r="L58" s="59">
        <f t="shared" si="11"/>
        <v>101536.60659999993</v>
      </c>
      <c r="M58" s="39">
        <v>7.8</v>
      </c>
      <c r="N58" s="59">
        <f t="shared" si="12"/>
        <v>2553.7980000000002</v>
      </c>
      <c r="O58" s="39">
        <v>6.45</v>
      </c>
      <c r="P58" s="59">
        <f t="shared" si="13"/>
        <v>4391.8050000000003</v>
      </c>
      <c r="Q58" s="40">
        <v>5.71</v>
      </c>
      <c r="R58" s="59">
        <f t="shared" si="14"/>
        <v>195791.50330000001</v>
      </c>
      <c r="S58" s="59">
        <v>234949.80396000002</v>
      </c>
      <c r="T58" s="72">
        <f t="shared" si="10"/>
        <v>365128.45547999989</v>
      </c>
    </row>
    <row r="59" spans="1:20" hidden="1" x14ac:dyDescent="0.25">
      <c r="A59" s="62">
        <v>56</v>
      </c>
      <c r="B59" s="62" t="s">
        <v>168</v>
      </c>
      <c r="C59" s="60">
        <f t="shared" si="5"/>
        <v>5361.0199999999968</v>
      </c>
      <c r="D59" s="60">
        <v>208.13</v>
      </c>
      <c r="E59" s="60">
        <v>693.79</v>
      </c>
      <c r="F59" s="60">
        <v>34289.230000000003</v>
      </c>
      <c r="G59" s="60">
        <v>40552.17</v>
      </c>
      <c r="H59" s="60">
        <f t="shared" si="6"/>
        <v>48662.603999999999</v>
      </c>
      <c r="I59" s="59">
        <v>279142.16099999996</v>
      </c>
      <c r="J59" s="59">
        <f t="shared" si="16"/>
        <v>100020.78923999993</v>
      </c>
      <c r="K59" s="39">
        <v>14.41</v>
      </c>
      <c r="L59" s="59">
        <f t="shared" si="11"/>
        <v>77252.298199999961</v>
      </c>
      <c r="M59" s="39">
        <v>7.8</v>
      </c>
      <c r="N59" s="59">
        <f t="shared" si="12"/>
        <v>1623.414</v>
      </c>
      <c r="O59" s="39">
        <v>6.45</v>
      </c>
      <c r="P59" s="59">
        <f t="shared" si="13"/>
        <v>4474.9454999999998</v>
      </c>
      <c r="Q59" s="40">
        <v>5.71</v>
      </c>
      <c r="R59" s="59">
        <f t="shared" si="14"/>
        <v>195791.50330000001</v>
      </c>
      <c r="S59" s="59">
        <v>234949.80396000002</v>
      </c>
      <c r="T59" s="72">
        <f t="shared" si="10"/>
        <v>334970.59319999994</v>
      </c>
    </row>
    <row r="60" spans="1:20" hidden="1" x14ac:dyDescent="0.25">
      <c r="A60" s="62">
        <v>57</v>
      </c>
      <c r="B60" s="62" t="s">
        <v>169</v>
      </c>
      <c r="C60" s="60">
        <f t="shared" si="5"/>
        <v>8242.4599999999991</v>
      </c>
      <c r="D60" s="60">
        <v>281.60000000000002</v>
      </c>
      <c r="E60" s="60">
        <v>639.08000000000004</v>
      </c>
      <c r="F60" s="60">
        <v>45322.95</v>
      </c>
      <c r="G60" s="60">
        <v>54486.09</v>
      </c>
      <c r="H60" s="60">
        <f t="shared" si="6"/>
        <v>65383.30799999999</v>
      </c>
      <c r="I60" s="59">
        <v>383886.43909999996</v>
      </c>
      <c r="J60" s="59">
        <f t="shared" si="16"/>
        <v>150110.87351999991</v>
      </c>
      <c r="K60" s="39">
        <v>14.41</v>
      </c>
      <c r="L60" s="59">
        <f t="shared" si="11"/>
        <v>118773.84859999998</v>
      </c>
      <c r="M60" s="39">
        <v>7.8</v>
      </c>
      <c r="N60" s="59">
        <f t="shared" si="12"/>
        <v>2196.48</v>
      </c>
      <c r="O60" s="39">
        <v>6.45</v>
      </c>
      <c r="P60" s="59">
        <f t="shared" si="13"/>
        <v>4122.0660000000007</v>
      </c>
      <c r="Q60" s="40">
        <v>5.71</v>
      </c>
      <c r="R60" s="59">
        <f t="shared" si="14"/>
        <v>258794.04449999999</v>
      </c>
      <c r="S60" s="59">
        <v>310552.85340000002</v>
      </c>
      <c r="T60" s="72">
        <f t="shared" si="10"/>
        <v>460663.72691999993</v>
      </c>
    </row>
    <row r="61" spans="1:20" s="20" customFormat="1" hidden="1" x14ac:dyDescent="0.25">
      <c r="A61" s="62">
        <v>58</v>
      </c>
      <c r="B61" s="62" t="s">
        <v>170</v>
      </c>
      <c r="C61" s="60">
        <f t="shared" si="5"/>
        <v>10473.980000000003</v>
      </c>
      <c r="D61" s="60">
        <v>420.61</v>
      </c>
      <c r="E61" s="60">
        <v>639.08000000000004</v>
      </c>
      <c r="F61" s="60">
        <v>45322.95</v>
      </c>
      <c r="G61" s="60">
        <v>56856.62</v>
      </c>
      <c r="H61" s="60">
        <f t="shared" si="6"/>
        <v>68227.944000000003</v>
      </c>
      <c r="I61" s="59">
        <v>417126.9203</v>
      </c>
      <c r="J61" s="59">
        <f t="shared" si="16"/>
        <v>189999.45095999993</v>
      </c>
      <c r="K61" s="39">
        <v>14.41</v>
      </c>
      <c r="L61" s="59">
        <f t="shared" si="11"/>
        <v>150930.05180000004</v>
      </c>
      <c r="M61" s="39">
        <v>7.8</v>
      </c>
      <c r="N61" s="59">
        <f t="shared" si="12"/>
        <v>3280.7579999999998</v>
      </c>
      <c r="O61" s="39">
        <v>6.45</v>
      </c>
      <c r="P61" s="59">
        <f t="shared" si="13"/>
        <v>4122.0660000000007</v>
      </c>
      <c r="Q61" s="40">
        <v>5.71</v>
      </c>
      <c r="R61" s="59">
        <f t="shared" si="14"/>
        <v>258794.04449999999</v>
      </c>
      <c r="S61" s="59">
        <v>310552.85340000002</v>
      </c>
      <c r="T61" s="72">
        <f t="shared" si="10"/>
        <v>500552.30435999995</v>
      </c>
    </row>
    <row r="62" spans="1:20" s="20" customFormat="1" hidden="1" x14ac:dyDescent="0.25">
      <c r="A62" s="62">
        <v>59</v>
      </c>
      <c r="B62" s="62" t="s">
        <v>171</v>
      </c>
      <c r="C62" s="60">
        <f t="shared" si="5"/>
        <v>21112.179999999993</v>
      </c>
      <c r="D62" s="60">
        <v>370.15</v>
      </c>
      <c r="E62" s="60">
        <v>640.72</v>
      </c>
      <c r="F62" s="60">
        <v>150350.26</v>
      </c>
      <c r="G62" s="60">
        <v>172473.31</v>
      </c>
      <c r="H62" s="60">
        <f t="shared" si="6"/>
        <v>206967.97199999998</v>
      </c>
      <c r="I62" s="59">
        <v>1169746.3123999999</v>
      </c>
      <c r="J62" s="59">
        <f t="shared" si="16"/>
        <v>373495.59335999982</v>
      </c>
      <c r="K62" s="39">
        <v>14.41</v>
      </c>
      <c r="L62" s="59">
        <f t="shared" si="11"/>
        <v>304226.5137999999</v>
      </c>
      <c r="M62" s="39">
        <v>7.8</v>
      </c>
      <c r="N62" s="59">
        <f t="shared" si="12"/>
        <v>2887.1699999999996</v>
      </c>
      <c r="O62" s="39">
        <v>6.45</v>
      </c>
      <c r="P62" s="59">
        <f t="shared" si="13"/>
        <v>4132.6440000000002</v>
      </c>
      <c r="Q62" s="40">
        <v>5.71</v>
      </c>
      <c r="R62" s="59">
        <f t="shared" si="14"/>
        <v>858499.98460000008</v>
      </c>
      <c r="S62" s="59">
        <v>1030199.9815200001</v>
      </c>
      <c r="T62" s="72">
        <f t="shared" si="10"/>
        <v>1403695.57488</v>
      </c>
    </row>
    <row r="63" spans="1:20" s="20" customFormat="1" hidden="1" x14ac:dyDescent="0.25">
      <c r="A63" s="62">
        <v>60</v>
      </c>
      <c r="B63" s="62" t="s">
        <v>172</v>
      </c>
      <c r="C63" s="60">
        <f t="shared" si="5"/>
        <v>23483.25999999998</v>
      </c>
      <c r="D63" s="60">
        <v>631.25</v>
      </c>
      <c r="E63" s="60">
        <v>640.72</v>
      </c>
      <c r="F63" s="60">
        <v>150350.26</v>
      </c>
      <c r="G63" s="60">
        <v>175105.49</v>
      </c>
      <c r="H63" s="60">
        <f t="shared" si="6"/>
        <v>210126.58799999999</v>
      </c>
      <c r="I63" s="59">
        <v>1205950.1551999999</v>
      </c>
      <c r="J63" s="59">
        <f t="shared" si="16"/>
        <v>416940.20471999981</v>
      </c>
      <c r="K63" s="39">
        <v>14.41</v>
      </c>
      <c r="L63" s="59">
        <f t="shared" si="11"/>
        <v>338393.77659999969</v>
      </c>
      <c r="M63" s="39">
        <v>7.8</v>
      </c>
      <c r="N63" s="59">
        <f t="shared" si="12"/>
        <v>4923.75</v>
      </c>
      <c r="O63" s="39">
        <v>6.45</v>
      </c>
      <c r="P63" s="59">
        <f t="shared" si="13"/>
        <v>4132.6440000000002</v>
      </c>
      <c r="Q63" s="40">
        <v>5.71</v>
      </c>
      <c r="R63" s="59">
        <f t="shared" si="14"/>
        <v>858499.98460000008</v>
      </c>
      <c r="S63" s="59">
        <v>1030199.9815200001</v>
      </c>
      <c r="T63" s="72">
        <f t="shared" si="10"/>
        <v>1447140.18624</v>
      </c>
    </row>
    <row r="64" spans="1:20" s="20" customFormat="1" hidden="1" x14ac:dyDescent="0.25">
      <c r="A64" s="62">
        <v>61</v>
      </c>
      <c r="B64" s="62" t="s">
        <v>173</v>
      </c>
      <c r="C64" s="60">
        <f t="shared" si="5"/>
        <v>5591.0800000000008</v>
      </c>
      <c r="D64" s="60">
        <v>50.81</v>
      </c>
      <c r="E64" s="60">
        <v>485.1</v>
      </c>
      <c r="F64" s="60">
        <v>3822.3</v>
      </c>
      <c r="G64" s="60">
        <v>9949.2900000000009</v>
      </c>
      <c r="H64" s="60">
        <f t="shared" si="6"/>
        <v>11939.148000000001</v>
      </c>
      <c r="I64" s="59">
        <v>105918.00880000001</v>
      </c>
      <c r="J64" s="59">
        <f t="shared" si="16"/>
        <v>100911.21096</v>
      </c>
      <c r="K64" s="39">
        <v>14.41</v>
      </c>
      <c r="L64" s="59">
        <f t="shared" si="11"/>
        <v>80567.462800000008</v>
      </c>
      <c r="M64" s="39">
        <v>7.8</v>
      </c>
      <c r="N64" s="59">
        <f t="shared" si="12"/>
        <v>396.31799999999998</v>
      </c>
      <c r="O64" s="39">
        <v>6.45</v>
      </c>
      <c r="P64" s="59">
        <f t="shared" si="13"/>
        <v>3128.8950000000004</v>
      </c>
      <c r="Q64" s="40">
        <v>5.71</v>
      </c>
      <c r="R64" s="59">
        <f t="shared" si="14"/>
        <v>21825.333000000002</v>
      </c>
      <c r="S64" s="59">
        <v>26190.399600000004</v>
      </c>
      <c r="T64" s="72">
        <f t="shared" si="10"/>
        <v>127101.61056</v>
      </c>
    </row>
    <row r="65" spans="1:20" s="20" customFormat="1" hidden="1" x14ac:dyDescent="0.25">
      <c r="A65" s="62">
        <v>62</v>
      </c>
      <c r="B65" s="62" t="s">
        <v>174</v>
      </c>
      <c r="C65" s="60">
        <f t="shared" si="5"/>
        <v>64725.949999999953</v>
      </c>
      <c r="D65" s="60">
        <v>4440.3100000000004</v>
      </c>
      <c r="E65" s="60">
        <v>14756.53</v>
      </c>
      <c r="F65" s="60">
        <v>437972.13</v>
      </c>
      <c r="G65" s="60">
        <v>521894.92</v>
      </c>
      <c r="H65" s="60">
        <f t="shared" si="6"/>
        <v>626273.90399999998</v>
      </c>
      <c r="I65" s="59">
        <v>3563335.8382999995</v>
      </c>
      <c r="J65" s="59">
        <f t="shared" si="16"/>
        <v>1275017.9711999986</v>
      </c>
      <c r="K65" s="39">
        <v>14.41</v>
      </c>
      <c r="L65" s="59">
        <f t="shared" si="11"/>
        <v>932700.93949999928</v>
      </c>
      <c r="M65" s="39">
        <v>7.8</v>
      </c>
      <c r="N65" s="59">
        <f t="shared" si="12"/>
        <v>34634.418000000005</v>
      </c>
      <c r="O65" s="39">
        <v>6.45</v>
      </c>
      <c r="P65" s="59">
        <f t="shared" si="13"/>
        <v>95179.618500000011</v>
      </c>
      <c r="Q65" s="40">
        <v>5.71</v>
      </c>
      <c r="R65" s="59">
        <f t="shared" si="14"/>
        <v>2500820.8623000002</v>
      </c>
      <c r="S65" s="59">
        <v>3000985.0347600002</v>
      </c>
      <c r="T65" s="72">
        <f t="shared" si="10"/>
        <v>4276003.0059599988</v>
      </c>
    </row>
    <row r="66" spans="1:20" hidden="1" x14ac:dyDescent="0.25">
      <c r="A66" s="62">
        <v>63</v>
      </c>
      <c r="B66" s="62" t="s">
        <v>175</v>
      </c>
      <c r="C66" s="60">
        <f t="shared" si="5"/>
        <v>33022.399999999994</v>
      </c>
      <c r="D66" s="60">
        <v>3379.99</v>
      </c>
      <c r="E66" s="60">
        <v>1964.07</v>
      </c>
      <c r="F66" s="60">
        <v>167480.54</v>
      </c>
      <c r="G66" s="60">
        <v>205847</v>
      </c>
      <c r="H66" s="60">
        <f t="shared" si="6"/>
        <v>247016.4</v>
      </c>
      <c r="I66" s="59">
        <v>1471198.8409</v>
      </c>
      <c r="J66" s="59">
        <f t="shared" si="16"/>
        <v>617861.94899999979</v>
      </c>
      <c r="K66" s="39">
        <v>14.41</v>
      </c>
      <c r="L66" s="59">
        <f t="shared" si="11"/>
        <v>475852.78399999993</v>
      </c>
      <c r="M66" s="39">
        <v>7.8</v>
      </c>
      <c r="N66" s="59">
        <f t="shared" si="12"/>
        <v>26363.921999999999</v>
      </c>
      <c r="O66" s="39">
        <v>6.45</v>
      </c>
      <c r="P66" s="59">
        <f t="shared" si="13"/>
        <v>12668.2515</v>
      </c>
      <c r="Q66" s="40">
        <v>5.71</v>
      </c>
      <c r="R66" s="59">
        <f t="shared" si="14"/>
        <v>956313.88340000005</v>
      </c>
      <c r="S66" s="59">
        <v>1147576.6600800001</v>
      </c>
      <c r="T66" s="72">
        <f t="shared" si="10"/>
        <v>1765438.6090799998</v>
      </c>
    </row>
    <row r="67" spans="1:20" hidden="1" x14ac:dyDescent="0.25">
      <c r="A67" s="62">
        <v>64</v>
      </c>
      <c r="B67" s="62" t="s">
        <v>176</v>
      </c>
      <c r="C67" s="60">
        <f t="shared" si="5"/>
        <v>38293.81</v>
      </c>
      <c r="D67" s="60">
        <v>5178.29</v>
      </c>
      <c r="E67" s="60">
        <v>8592.52</v>
      </c>
      <c r="F67" s="60">
        <v>150980.94</v>
      </c>
      <c r="G67" s="60">
        <v>203045.56</v>
      </c>
      <c r="H67" s="60">
        <f t="shared" si="6"/>
        <v>243654.67199999999</v>
      </c>
      <c r="I67" s="59">
        <v>1509727.3854999999</v>
      </c>
      <c r="J67" s="59">
        <f t="shared" si="16"/>
        <v>777151.46171999979</v>
      </c>
      <c r="K67" s="39">
        <v>14.41</v>
      </c>
      <c r="L67" s="59">
        <f t="shared" ref="L67:L68" si="17">C67*K67</f>
        <v>551813.80209999997</v>
      </c>
      <c r="M67" s="39">
        <v>7.8</v>
      </c>
      <c r="N67" s="59">
        <f t="shared" ref="N67:N68" si="18">D67*M67</f>
        <v>40390.661999999997</v>
      </c>
      <c r="O67" s="39">
        <v>6.45</v>
      </c>
      <c r="P67" s="59">
        <f t="shared" ref="P67:P68" si="19">E67*O67</f>
        <v>55421.754000000001</v>
      </c>
      <c r="Q67" s="40">
        <v>5.71</v>
      </c>
      <c r="R67" s="59">
        <f t="shared" ref="R67:R68" si="20">F67*Q67</f>
        <v>862101.16740000003</v>
      </c>
      <c r="S67" s="59">
        <v>1034521.4008800001</v>
      </c>
      <c r="T67" s="72">
        <f t="shared" si="10"/>
        <v>1811672.8625999999</v>
      </c>
    </row>
    <row r="68" spans="1:20" ht="25.5" hidden="1" x14ac:dyDescent="0.25">
      <c r="A68" s="62">
        <v>65</v>
      </c>
      <c r="B68" s="62" t="s">
        <v>177</v>
      </c>
      <c r="C68" s="60">
        <f t="shared" ref="C68" si="21">G68-D68-E68-F68</f>
        <v>26529.249999999996</v>
      </c>
      <c r="D68" s="60">
        <v>5178.29</v>
      </c>
      <c r="E68" s="60">
        <v>8592.52</v>
      </c>
      <c r="F68" s="60"/>
      <c r="G68" s="60">
        <v>40300.06</v>
      </c>
      <c r="H68" s="60">
        <f t="shared" ref="H68" si="22">G68*1.2</f>
        <v>48360.071999999993</v>
      </c>
      <c r="I68" s="59">
        <v>478098.90849999996</v>
      </c>
      <c r="J68" s="59">
        <f t="shared" ref="J68" si="23">I68*1.2-S68</f>
        <v>573718.69019999995</v>
      </c>
      <c r="K68" s="39">
        <v>14.41</v>
      </c>
      <c r="L68" s="59">
        <f t="shared" si="17"/>
        <v>382286.49249999993</v>
      </c>
      <c r="M68" s="39">
        <v>7.8</v>
      </c>
      <c r="N68" s="59">
        <f t="shared" si="18"/>
        <v>40390.661999999997</v>
      </c>
      <c r="O68" s="39">
        <v>6.45</v>
      </c>
      <c r="P68" s="59">
        <f t="shared" si="19"/>
        <v>55421.754000000001</v>
      </c>
      <c r="Q68" s="40">
        <v>5.71</v>
      </c>
      <c r="R68" s="59">
        <f t="shared" si="20"/>
        <v>0</v>
      </c>
      <c r="S68" s="59">
        <v>0</v>
      </c>
      <c r="T68" s="72">
        <f t="shared" si="10"/>
        <v>573718.69019999995</v>
      </c>
    </row>
    <row r="69" spans="1:20" hidden="1" x14ac:dyDescent="0.25">
      <c r="A69" s="62"/>
      <c r="B69" s="62" t="s">
        <v>344</v>
      </c>
      <c r="C69" s="60"/>
      <c r="D69" s="60"/>
      <c r="E69" s="60"/>
      <c r="F69" s="60"/>
      <c r="G69" s="60"/>
      <c r="H69" s="60"/>
      <c r="I69" s="63"/>
      <c r="J69" s="59">
        <f t="shared" ref="J69:J132" si="24">T69-S69</f>
        <v>0</v>
      </c>
      <c r="K69" s="58">
        <v>0</v>
      </c>
      <c r="L69" s="63"/>
      <c r="M69" s="58">
        <v>0</v>
      </c>
      <c r="N69" s="63"/>
      <c r="O69" s="58">
        <v>0</v>
      </c>
      <c r="P69" s="63"/>
      <c r="Q69" s="58">
        <v>0</v>
      </c>
      <c r="R69" s="63"/>
      <c r="S69" s="59">
        <v>0</v>
      </c>
      <c r="T69" s="72">
        <f t="shared" si="10"/>
        <v>0</v>
      </c>
    </row>
    <row r="70" spans="1:20" hidden="1" x14ac:dyDescent="0.25">
      <c r="A70" s="62">
        <v>66</v>
      </c>
      <c r="B70" s="62" t="s">
        <v>178</v>
      </c>
      <c r="C70" s="60">
        <f t="shared" ref="C70:C77" si="25">G70-D70-E70</f>
        <v>78413.88</v>
      </c>
      <c r="D70" s="60">
        <v>23035.119999999999</v>
      </c>
      <c r="E70" s="60">
        <f>139358.7+10485+1579</f>
        <v>151422.70000000001</v>
      </c>
      <c r="F70" s="60"/>
      <c r="G70" s="60">
        <v>252871.7</v>
      </c>
      <c r="H70" s="60">
        <f>G70*1.2</f>
        <v>303446.03999999998</v>
      </c>
      <c r="I70" s="59">
        <v>1743188.3271999999</v>
      </c>
      <c r="J70" s="59">
        <f t="shared" si="24"/>
        <v>2091825.9926399998</v>
      </c>
      <c r="K70" s="58">
        <v>14.41</v>
      </c>
      <c r="L70" s="59">
        <f t="shared" ref="L70:L133" si="26">C70*K70</f>
        <v>1129944.0108</v>
      </c>
      <c r="M70" s="58">
        <v>6.77</v>
      </c>
      <c r="N70" s="59">
        <f t="shared" ref="N70:N133" si="27">D70*M70</f>
        <v>155947.76239999998</v>
      </c>
      <c r="O70" s="58">
        <v>3.02</v>
      </c>
      <c r="P70" s="59">
        <f t="shared" ref="P70:P133" si="28">E70*O70</f>
        <v>457296.55400000006</v>
      </c>
      <c r="Q70" s="58"/>
      <c r="R70" s="63"/>
      <c r="S70" s="59">
        <v>0</v>
      </c>
      <c r="T70" s="72">
        <f t="shared" si="10"/>
        <v>2091825.9926399998</v>
      </c>
    </row>
    <row r="71" spans="1:20" hidden="1" x14ac:dyDescent="0.25">
      <c r="A71" s="62">
        <v>67</v>
      </c>
      <c r="B71" s="62" t="s">
        <v>179</v>
      </c>
      <c r="C71" s="60">
        <f t="shared" si="25"/>
        <v>87310.490000000049</v>
      </c>
      <c r="D71" s="60">
        <v>24306.74</v>
      </c>
      <c r="E71" s="60">
        <f>10485+230465.11+1579</f>
        <v>242529.11</v>
      </c>
      <c r="F71" s="60"/>
      <c r="G71" s="60">
        <v>354146.34</v>
      </c>
      <c r="H71" s="60">
        <v>424975.6</v>
      </c>
      <c r="I71" s="59">
        <v>2155138.7029000008</v>
      </c>
      <c r="J71" s="59">
        <f t="shared" si="24"/>
        <v>2586166.4434800008</v>
      </c>
      <c r="K71" s="58">
        <v>14.41</v>
      </c>
      <c r="L71" s="59">
        <f t="shared" si="26"/>
        <v>1258144.1609000007</v>
      </c>
      <c r="M71" s="58">
        <v>6.77</v>
      </c>
      <c r="N71" s="59">
        <f t="shared" si="27"/>
        <v>164556.6298</v>
      </c>
      <c r="O71" s="58">
        <v>3.02</v>
      </c>
      <c r="P71" s="59">
        <f t="shared" si="28"/>
        <v>732437.9121999999</v>
      </c>
      <c r="Q71" s="58"/>
      <c r="R71" s="63"/>
      <c r="S71" s="59">
        <v>0</v>
      </c>
      <c r="T71" s="72">
        <f t="shared" si="10"/>
        <v>2586166.4434800008</v>
      </c>
    </row>
    <row r="72" spans="1:20" hidden="1" x14ac:dyDescent="0.25">
      <c r="A72" s="62">
        <v>68</v>
      </c>
      <c r="B72" s="62" t="s">
        <v>180</v>
      </c>
      <c r="C72" s="60">
        <f t="shared" si="25"/>
        <v>90299.359999999986</v>
      </c>
      <c r="D72" s="60">
        <v>24306.55</v>
      </c>
      <c r="E72" s="60">
        <f>10485+276121.95+1579.27</f>
        <v>288186.22000000003</v>
      </c>
      <c r="F72" s="60"/>
      <c r="G72" s="60">
        <v>402792.13</v>
      </c>
      <c r="H72" s="60">
        <v>483350.55</v>
      </c>
      <c r="I72" s="59">
        <v>2336091.5055</v>
      </c>
      <c r="J72" s="59">
        <f t="shared" si="24"/>
        <v>2803309.8065999998</v>
      </c>
      <c r="K72" s="58">
        <v>14.41</v>
      </c>
      <c r="L72" s="59">
        <f t="shared" si="26"/>
        <v>1301213.7775999999</v>
      </c>
      <c r="M72" s="58">
        <v>6.77</v>
      </c>
      <c r="N72" s="59">
        <f t="shared" si="27"/>
        <v>164555.34349999999</v>
      </c>
      <c r="O72" s="58">
        <v>3.02</v>
      </c>
      <c r="P72" s="59">
        <f t="shared" si="28"/>
        <v>870322.3844000001</v>
      </c>
      <c r="Q72" s="58"/>
      <c r="R72" s="63"/>
      <c r="S72" s="59">
        <v>0</v>
      </c>
      <c r="T72" s="72">
        <f t="shared" si="10"/>
        <v>2803309.8065999998</v>
      </c>
    </row>
    <row r="73" spans="1:20" hidden="1" x14ac:dyDescent="0.25">
      <c r="A73" s="62">
        <v>69</v>
      </c>
      <c r="B73" s="62" t="s">
        <v>181</v>
      </c>
      <c r="C73" s="60">
        <f t="shared" si="25"/>
        <v>92552.349999999977</v>
      </c>
      <c r="D73" s="60">
        <v>24309.64</v>
      </c>
      <c r="E73" s="60">
        <f>39839+348206.87+1579</f>
        <v>389624.87</v>
      </c>
      <c r="F73" s="60"/>
      <c r="G73" s="60">
        <v>506486.86</v>
      </c>
      <c r="H73" s="60">
        <f>G73*1.2</f>
        <v>607784.23199999996</v>
      </c>
      <c r="I73" s="59">
        <v>2674922.7336999997</v>
      </c>
      <c r="J73" s="59">
        <f t="shared" si="24"/>
        <v>3209907.2804399994</v>
      </c>
      <c r="K73" s="58">
        <v>14.41</v>
      </c>
      <c r="L73" s="59">
        <f t="shared" si="26"/>
        <v>1333679.3634999997</v>
      </c>
      <c r="M73" s="58">
        <v>6.77</v>
      </c>
      <c r="N73" s="59">
        <f t="shared" si="27"/>
        <v>164576.2628</v>
      </c>
      <c r="O73" s="58">
        <v>3.02</v>
      </c>
      <c r="P73" s="59">
        <f t="shared" si="28"/>
        <v>1176667.1074000001</v>
      </c>
      <c r="Q73" s="58"/>
      <c r="R73" s="63"/>
      <c r="S73" s="59">
        <v>0</v>
      </c>
      <c r="T73" s="72">
        <f t="shared" si="10"/>
        <v>3209907.2804399994</v>
      </c>
    </row>
    <row r="74" spans="1:20" hidden="1" x14ac:dyDescent="0.25">
      <c r="A74" s="62">
        <v>70</v>
      </c>
      <c r="B74" s="62" t="s">
        <v>182</v>
      </c>
      <c r="C74" s="60">
        <f t="shared" si="25"/>
        <v>102959.15000000002</v>
      </c>
      <c r="D74" s="60">
        <v>25491.35</v>
      </c>
      <c r="E74" s="60">
        <f>39839+437913.63+1579</f>
        <v>479331.63</v>
      </c>
      <c r="F74" s="60"/>
      <c r="G74" s="60">
        <v>607782.13</v>
      </c>
      <c r="H74" s="60">
        <v>729338.55</v>
      </c>
      <c r="I74" s="59">
        <v>3103799.3136</v>
      </c>
      <c r="J74" s="59">
        <f t="shared" si="24"/>
        <v>3724559.1763200001</v>
      </c>
      <c r="K74" s="58">
        <v>14.41</v>
      </c>
      <c r="L74" s="59">
        <f t="shared" si="26"/>
        <v>1483641.3515000003</v>
      </c>
      <c r="M74" s="58">
        <v>6.77</v>
      </c>
      <c r="N74" s="59">
        <f t="shared" si="27"/>
        <v>172576.43949999998</v>
      </c>
      <c r="O74" s="58">
        <v>3.02</v>
      </c>
      <c r="P74" s="59">
        <f t="shared" si="28"/>
        <v>1447581.5226</v>
      </c>
      <c r="Q74" s="58"/>
      <c r="R74" s="63"/>
      <c r="S74" s="59">
        <v>0</v>
      </c>
      <c r="T74" s="72">
        <f t="shared" si="10"/>
        <v>3724559.1763200001</v>
      </c>
    </row>
    <row r="75" spans="1:20" hidden="1" x14ac:dyDescent="0.25">
      <c r="A75" s="62">
        <v>71</v>
      </c>
      <c r="B75" s="62" t="s">
        <v>183</v>
      </c>
      <c r="C75" s="60">
        <f t="shared" si="25"/>
        <v>128262.90000000002</v>
      </c>
      <c r="D75" s="60">
        <v>29999.38</v>
      </c>
      <c r="E75" s="60">
        <f>10485+468956.87+2306.65</f>
        <v>481748.52</v>
      </c>
      <c r="F75" s="60"/>
      <c r="G75" s="60">
        <v>640010.80000000005</v>
      </c>
      <c r="H75" s="60">
        <f>G75*1.2</f>
        <v>768012.96000000008</v>
      </c>
      <c r="I75" s="59">
        <v>3506244.7220000005</v>
      </c>
      <c r="J75" s="59">
        <f t="shared" si="24"/>
        <v>4207493.6664000005</v>
      </c>
      <c r="K75" s="58">
        <v>14.41</v>
      </c>
      <c r="L75" s="59">
        <f t="shared" si="26"/>
        <v>1848268.3890000004</v>
      </c>
      <c r="M75" s="58">
        <v>6.77</v>
      </c>
      <c r="N75" s="59">
        <f t="shared" si="27"/>
        <v>203095.8026</v>
      </c>
      <c r="O75" s="58">
        <v>3.02</v>
      </c>
      <c r="P75" s="59">
        <f t="shared" si="28"/>
        <v>1454880.5304</v>
      </c>
      <c r="Q75" s="58"/>
      <c r="R75" s="63"/>
      <c r="S75" s="59">
        <v>0</v>
      </c>
      <c r="T75" s="72">
        <f t="shared" si="10"/>
        <v>4207493.6664000005</v>
      </c>
    </row>
    <row r="76" spans="1:20" ht="17.25" hidden="1" customHeight="1" x14ac:dyDescent="0.25">
      <c r="A76" s="62">
        <v>72</v>
      </c>
      <c r="B76" s="62" t="s">
        <v>184</v>
      </c>
      <c r="C76" s="60">
        <f t="shared" si="25"/>
        <v>135550.27000000002</v>
      </c>
      <c r="D76" s="60">
        <v>30089.48</v>
      </c>
      <c r="E76" s="60">
        <f>10485+561855.39+2306.65</f>
        <v>574647.04000000004</v>
      </c>
      <c r="F76" s="60"/>
      <c r="G76" s="60">
        <v>740286.79</v>
      </c>
      <c r="H76" s="60">
        <v>888344.14</v>
      </c>
      <c r="I76" s="59">
        <v>3892419.2311000004</v>
      </c>
      <c r="J76" s="59">
        <f t="shared" si="24"/>
        <v>4670903.0773200002</v>
      </c>
      <c r="K76" s="58">
        <v>14.41</v>
      </c>
      <c r="L76" s="59">
        <f t="shared" si="26"/>
        <v>1953279.3907000003</v>
      </c>
      <c r="M76" s="58">
        <v>6.77</v>
      </c>
      <c r="N76" s="59">
        <f t="shared" si="27"/>
        <v>203705.77959999998</v>
      </c>
      <c r="O76" s="58">
        <v>3.02</v>
      </c>
      <c r="P76" s="59">
        <f t="shared" si="28"/>
        <v>1735434.0608000001</v>
      </c>
      <c r="Q76" s="58"/>
      <c r="R76" s="63"/>
      <c r="S76" s="59">
        <v>0</v>
      </c>
      <c r="T76" s="72">
        <f t="shared" si="10"/>
        <v>4670903.0773200002</v>
      </c>
    </row>
    <row r="77" spans="1:20" hidden="1" x14ac:dyDescent="0.25">
      <c r="A77" s="62">
        <v>73</v>
      </c>
      <c r="B77" s="62" t="s">
        <v>185</v>
      </c>
      <c r="C77" s="60">
        <f t="shared" si="25"/>
        <v>161914.1599999998</v>
      </c>
      <c r="D77" s="60">
        <v>32459.06</v>
      </c>
      <c r="E77" s="60">
        <f>54515.34+874658.67+2306.65</f>
        <v>931480.66</v>
      </c>
      <c r="F77" s="60"/>
      <c r="G77" s="60">
        <v>1125853.8799999999</v>
      </c>
      <c r="H77" s="60">
        <f t="shared" ref="H77:H83" si="29">G77*1.2</f>
        <v>1351024.6559999997</v>
      </c>
      <c r="I77" s="59">
        <v>5366002.4749999968</v>
      </c>
      <c r="J77" s="59">
        <f t="shared" si="24"/>
        <v>6439202.969999996</v>
      </c>
      <c r="K77" s="58">
        <v>14.41</v>
      </c>
      <c r="L77" s="59">
        <f t="shared" si="26"/>
        <v>2333183.045599997</v>
      </c>
      <c r="M77" s="58">
        <v>6.77</v>
      </c>
      <c r="N77" s="59">
        <f t="shared" si="27"/>
        <v>219747.83619999999</v>
      </c>
      <c r="O77" s="58">
        <v>3.02</v>
      </c>
      <c r="P77" s="59">
        <f t="shared" si="28"/>
        <v>2813071.5932</v>
      </c>
      <c r="Q77" s="58"/>
      <c r="R77" s="63"/>
      <c r="S77" s="59">
        <v>0</v>
      </c>
      <c r="T77" s="72">
        <f t="shared" si="10"/>
        <v>6439202.969999996</v>
      </c>
    </row>
    <row r="78" spans="1:20" hidden="1" x14ac:dyDescent="0.25">
      <c r="A78" s="62">
        <v>74</v>
      </c>
      <c r="B78" s="62" t="s">
        <v>186</v>
      </c>
      <c r="C78" s="60">
        <f>G78-E78-D78</f>
        <v>84280.610000000044</v>
      </c>
      <c r="D78" s="60">
        <v>24220.15</v>
      </c>
      <c r="E78" s="60">
        <f>10485+206565.68+1579.27</f>
        <v>218629.94999999998</v>
      </c>
      <c r="F78" s="60"/>
      <c r="G78" s="60">
        <v>327130.71000000002</v>
      </c>
      <c r="H78" s="60">
        <f t="shared" si="29"/>
        <v>392556.85200000001</v>
      </c>
      <c r="I78" s="59">
        <v>2038716.4546000008</v>
      </c>
      <c r="J78" s="59">
        <f t="shared" si="24"/>
        <v>2446459.7455200008</v>
      </c>
      <c r="K78" s="58">
        <v>14.41</v>
      </c>
      <c r="L78" s="59">
        <f t="shared" si="26"/>
        <v>1214483.5901000006</v>
      </c>
      <c r="M78" s="58">
        <v>6.77</v>
      </c>
      <c r="N78" s="59">
        <f t="shared" si="27"/>
        <v>163970.4155</v>
      </c>
      <c r="O78" s="58">
        <v>3.02</v>
      </c>
      <c r="P78" s="59">
        <f t="shared" si="28"/>
        <v>660262.44899999991</v>
      </c>
      <c r="Q78" s="58"/>
      <c r="R78" s="63"/>
      <c r="S78" s="59">
        <v>0</v>
      </c>
      <c r="T78" s="72">
        <f t="shared" si="10"/>
        <v>2446459.7455200008</v>
      </c>
    </row>
    <row r="79" spans="1:20" hidden="1" x14ac:dyDescent="0.25">
      <c r="A79" s="62">
        <v>75</v>
      </c>
      <c r="B79" s="62" t="s">
        <v>187</v>
      </c>
      <c r="C79" s="60">
        <f>G79-E79-D79</f>
        <v>97818.620000000024</v>
      </c>
      <c r="D79" s="60">
        <v>25397.72</v>
      </c>
      <c r="E79" s="60">
        <f>10485+331540.85+1579.27</f>
        <v>343605.12</v>
      </c>
      <c r="F79" s="60"/>
      <c r="G79" s="60">
        <v>466821.46</v>
      </c>
      <c r="H79" s="60">
        <f t="shared" si="29"/>
        <v>560185.75199999998</v>
      </c>
      <c r="I79" s="59">
        <v>2619196.3410000005</v>
      </c>
      <c r="J79" s="59">
        <f t="shared" si="24"/>
        <v>3143035.6092000003</v>
      </c>
      <c r="K79" s="58">
        <v>14.41</v>
      </c>
      <c r="L79" s="59">
        <f t="shared" si="26"/>
        <v>1409566.3142000004</v>
      </c>
      <c r="M79" s="58">
        <v>6.77</v>
      </c>
      <c r="N79" s="59">
        <f t="shared" si="27"/>
        <v>171942.5644</v>
      </c>
      <c r="O79" s="58">
        <v>3.02</v>
      </c>
      <c r="P79" s="59">
        <f t="shared" si="28"/>
        <v>1037687.4624</v>
      </c>
      <c r="Q79" s="58"/>
      <c r="R79" s="63"/>
      <c r="S79" s="59">
        <v>0</v>
      </c>
      <c r="T79" s="72">
        <f t="shared" si="10"/>
        <v>3143035.6092000003</v>
      </c>
    </row>
    <row r="80" spans="1:20" hidden="1" x14ac:dyDescent="0.25">
      <c r="A80" s="62">
        <v>76</v>
      </c>
      <c r="B80" s="62" t="s">
        <v>188</v>
      </c>
      <c r="C80" s="60">
        <f>G80-E80-D80</f>
        <v>100153.28999999996</v>
      </c>
      <c r="D80" s="60">
        <v>25492.49</v>
      </c>
      <c r="E80" s="60">
        <f>10485+358781.02+1579.27</f>
        <v>370845.29000000004</v>
      </c>
      <c r="F80" s="60"/>
      <c r="G80" s="60">
        <v>496491.07</v>
      </c>
      <c r="H80" s="60">
        <f t="shared" si="29"/>
        <v>595789.28399999999</v>
      </c>
      <c r="I80" s="59">
        <v>2735745.8419999997</v>
      </c>
      <c r="J80" s="59">
        <f t="shared" si="24"/>
        <v>3282895.0103999996</v>
      </c>
      <c r="K80" s="58">
        <v>14.41</v>
      </c>
      <c r="L80" s="59">
        <f t="shared" si="26"/>
        <v>1443208.9088999995</v>
      </c>
      <c r="M80" s="58">
        <v>6.77</v>
      </c>
      <c r="N80" s="59">
        <f t="shared" si="27"/>
        <v>172584.15729999999</v>
      </c>
      <c r="O80" s="58">
        <v>3.02</v>
      </c>
      <c r="P80" s="59">
        <f t="shared" si="28"/>
        <v>1119952.7758000002</v>
      </c>
      <c r="Q80" s="58"/>
      <c r="R80" s="63"/>
      <c r="S80" s="59">
        <v>0</v>
      </c>
      <c r="T80" s="72">
        <f t="shared" si="10"/>
        <v>3282895.0103999996</v>
      </c>
    </row>
    <row r="81" spans="1:20" hidden="1" x14ac:dyDescent="0.25">
      <c r="A81" s="62">
        <v>77</v>
      </c>
      <c r="B81" s="62" t="s">
        <v>189</v>
      </c>
      <c r="C81" s="60">
        <f>G81-E81-D81</f>
        <v>104088.18999999994</v>
      </c>
      <c r="D81" s="60">
        <v>25502.32</v>
      </c>
      <c r="E81" s="60">
        <f>10485+409211.45+1579.27</f>
        <v>421275.72000000003</v>
      </c>
      <c r="F81" s="60"/>
      <c r="G81" s="60">
        <v>550866.23</v>
      </c>
      <c r="H81" s="60">
        <f t="shared" si="29"/>
        <v>661039.47599999991</v>
      </c>
      <c r="I81" s="59">
        <v>2944814.1986999996</v>
      </c>
      <c r="J81" s="59">
        <f t="shared" si="24"/>
        <v>3533777.0384399993</v>
      </c>
      <c r="K81" s="58">
        <v>14.41</v>
      </c>
      <c r="L81" s="59">
        <f t="shared" si="26"/>
        <v>1499910.8178999992</v>
      </c>
      <c r="M81" s="58">
        <v>6.77</v>
      </c>
      <c r="N81" s="59">
        <f t="shared" si="27"/>
        <v>172650.7064</v>
      </c>
      <c r="O81" s="58">
        <v>3.02</v>
      </c>
      <c r="P81" s="59">
        <f t="shared" si="28"/>
        <v>1272252.6744000001</v>
      </c>
      <c r="Q81" s="58"/>
      <c r="R81" s="63"/>
      <c r="S81" s="59">
        <v>0</v>
      </c>
      <c r="T81" s="72">
        <f t="shared" si="10"/>
        <v>3533777.0384399993</v>
      </c>
    </row>
    <row r="82" spans="1:20" hidden="1" x14ac:dyDescent="0.25">
      <c r="A82" s="62">
        <v>78</v>
      </c>
      <c r="B82" s="62" t="s">
        <v>190</v>
      </c>
      <c r="C82" s="60">
        <f>G82-E82-D82</f>
        <v>103720.82999999994</v>
      </c>
      <c r="D82" s="60">
        <v>25507.05</v>
      </c>
      <c r="E82" s="60">
        <f>39838.56+447447.4+1579.27</f>
        <v>488865.23000000004</v>
      </c>
      <c r="F82" s="60"/>
      <c r="G82" s="60">
        <v>618093.11</v>
      </c>
      <c r="H82" s="60">
        <f t="shared" si="29"/>
        <v>741711.73199999996</v>
      </c>
      <c r="I82" s="59">
        <v>3143672.8833999992</v>
      </c>
      <c r="J82" s="59">
        <f t="shared" si="24"/>
        <v>3772407.4600799987</v>
      </c>
      <c r="K82" s="58">
        <v>14.41</v>
      </c>
      <c r="L82" s="59">
        <f t="shared" si="26"/>
        <v>1494617.1602999992</v>
      </c>
      <c r="M82" s="58">
        <v>6.77</v>
      </c>
      <c r="N82" s="59">
        <f t="shared" si="27"/>
        <v>172682.7285</v>
      </c>
      <c r="O82" s="58">
        <v>3.02</v>
      </c>
      <c r="P82" s="59">
        <f t="shared" si="28"/>
        <v>1476372.9946000001</v>
      </c>
      <c r="Q82" s="58"/>
      <c r="R82" s="63"/>
      <c r="S82" s="59">
        <v>0</v>
      </c>
      <c r="T82" s="72">
        <f t="shared" si="10"/>
        <v>3772407.4600799987</v>
      </c>
    </row>
    <row r="83" spans="1:20" hidden="1" x14ac:dyDescent="0.25">
      <c r="A83" s="62">
        <v>79</v>
      </c>
      <c r="B83" s="62" t="s">
        <v>191</v>
      </c>
      <c r="C83" s="60">
        <f>G83-D83-E83</f>
        <v>104110.94999999995</v>
      </c>
      <c r="D83" s="60">
        <v>27059.89</v>
      </c>
      <c r="E83" s="60">
        <f>39838.56+528046.98+1579.27</f>
        <v>569464.81000000006</v>
      </c>
      <c r="F83" s="60"/>
      <c r="G83" s="60">
        <v>700635.65</v>
      </c>
      <c r="H83" s="60">
        <f t="shared" si="29"/>
        <v>840762.78</v>
      </c>
      <c r="I83" s="59">
        <v>3403217.9709999994</v>
      </c>
      <c r="J83" s="59">
        <f t="shared" si="24"/>
        <v>4083861.5651999991</v>
      </c>
      <c r="K83" s="58">
        <v>14.41</v>
      </c>
      <c r="L83" s="59">
        <f t="shared" si="26"/>
        <v>1500238.7894999993</v>
      </c>
      <c r="M83" s="58">
        <v>6.77</v>
      </c>
      <c r="N83" s="59">
        <f t="shared" si="27"/>
        <v>183195.45529999997</v>
      </c>
      <c r="O83" s="58">
        <v>3.02</v>
      </c>
      <c r="P83" s="59">
        <f t="shared" si="28"/>
        <v>1719783.7262000002</v>
      </c>
      <c r="Q83" s="58"/>
      <c r="R83" s="63"/>
      <c r="S83" s="59">
        <v>0</v>
      </c>
      <c r="T83" s="72">
        <f t="shared" si="10"/>
        <v>4083861.5651999991</v>
      </c>
    </row>
    <row r="84" spans="1:20" hidden="1" x14ac:dyDescent="0.25">
      <c r="A84" s="62">
        <v>80</v>
      </c>
      <c r="B84" s="62" t="s">
        <v>192</v>
      </c>
      <c r="C84" s="60">
        <f>G84-D84-E84</f>
        <v>116115.15000000002</v>
      </c>
      <c r="D84" s="60">
        <v>29019.96</v>
      </c>
      <c r="E84" s="60">
        <f>39838.56+571205.43+1579.27</f>
        <v>612623.26</v>
      </c>
      <c r="F84" s="60"/>
      <c r="G84" s="60">
        <v>757758.37</v>
      </c>
      <c r="H84" s="60">
        <v>909310.05</v>
      </c>
      <c r="I84" s="59">
        <v>3719806.6859000004</v>
      </c>
      <c r="J84" s="59">
        <f t="shared" si="24"/>
        <v>4463768.0230800007</v>
      </c>
      <c r="K84" s="58">
        <v>14.41</v>
      </c>
      <c r="L84" s="59">
        <f t="shared" si="26"/>
        <v>1673219.3115000003</v>
      </c>
      <c r="M84" s="58">
        <v>6.77</v>
      </c>
      <c r="N84" s="59">
        <f t="shared" si="27"/>
        <v>196465.1292</v>
      </c>
      <c r="O84" s="58">
        <v>3.02</v>
      </c>
      <c r="P84" s="59">
        <f t="shared" si="28"/>
        <v>1850122.2452</v>
      </c>
      <c r="Q84" s="58"/>
      <c r="R84" s="63"/>
      <c r="S84" s="59">
        <v>0</v>
      </c>
      <c r="T84" s="72">
        <f t="shared" si="10"/>
        <v>4463768.0230800007</v>
      </c>
    </row>
    <row r="85" spans="1:20" hidden="1" x14ac:dyDescent="0.25">
      <c r="A85" s="62">
        <v>81</v>
      </c>
      <c r="B85" s="64" t="s">
        <v>193</v>
      </c>
      <c r="C85" s="60">
        <f>G85-E85-D85</f>
        <v>148810.44000000006</v>
      </c>
      <c r="D85" s="60">
        <v>32339.61</v>
      </c>
      <c r="E85" s="60">
        <f>54515.34+714058.98+2306.65</f>
        <v>770880.97</v>
      </c>
      <c r="F85" s="60"/>
      <c r="G85" s="60">
        <v>952031.02</v>
      </c>
      <c r="H85" s="60">
        <f>G85*1.2</f>
        <v>1142437.2239999999</v>
      </c>
      <c r="I85" s="59">
        <v>4691358.1295000007</v>
      </c>
      <c r="J85" s="59">
        <f t="shared" si="24"/>
        <v>5629629.7554000011</v>
      </c>
      <c r="K85" s="58">
        <v>14.41</v>
      </c>
      <c r="L85" s="59">
        <f t="shared" si="26"/>
        <v>2144358.4404000007</v>
      </c>
      <c r="M85" s="58">
        <v>6.77</v>
      </c>
      <c r="N85" s="59">
        <f t="shared" si="27"/>
        <v>218939.15969999999</v>
      </c>
      <c r="O85" s="58">
        <v>3.02</v>
      </c>
      <c r="P85" s="59">
        <f t="shared" si="28"/>
        <v>2328060.5293999999</v>
      </c>
      <c r="Q85" s="58"/>
      <c r="R85" s="63"/>
      <c r="S85" s="59">
        <v>0</v>
      </c>
      <c r="T85" s="72">
        <f t="shared" si="10"/>
        <v>5629629.7554000011</v>
      </c>
    </row>
    <row r="86" spans="1:20" hidden="1" x14ac:dyDescent="0.25">
      <c r="A86" s="62">
        <v>82</v>
      </c>
      <c r="B86" s="64" t="s">
        <v>194</v>
      </c>
      <c r="C86" s="60">
        <f>G86-E86-D86</f>
        <v>156749.34000000005</v>
      </c>
      <c r="D86" s="60">
        <v>32359.35</v>
      </c>
      <c r="E86" s="60">
        <f>54515.34+814286.42+2306.65</f>
        <v>871108.41</v>
      </c>
      <c r="F86" s="60"/>
      <c r="G86" s="60">
        <v>1060217.1000000001</v>
      </c>
      <c r="H86" s="60">
        <f>G86*1.2</f>
        <v>1272260.52</v>
      </c>
      <c r="I86" s="59">
        <v>5108578.1871000007</v>
      </c>
      <c r="J86" s="59">
        <f t="shared" si="24"/>
        <v>6130293.8245200003</v>
      </c>
      <c r="K86" s="58">
        <v>14.41</v>
      </c>
      <c r="L86" s="59">
        <f t="shared" si="26"/>
        <v>2258757.9894000008</v>
      </c>
      <c r="M86" s="58">
        <v>6.77</v>
      </c>
      <c r="N86" s="59">
        <f t="shared" si="27"/>
        <v>219072.79949999996</v>
      </c>
      <c r="O86" s="58">
        <v>3.02</v>
      </c>
      <c r="P86" s="59">
        <f t="shared" si="28"/>
        <v>2630747.3982000002</v>
      </c>
      <c r="Q86" s="58"/>
      <c r="R86" s="63"/>
      <c r="S86" s="59">
        <v>0</v>
      </c>
      <c r="T86" s="72">
        <f t="shared" si="10"/>
        <v>6130293.8245200003</v>
      </c>
    </row>
    <row r="87" spans="1:20" hidden="1" x14ac:dyDescent="0.25">
      <c r="A87" s="62">
        <v>83</v>
      </c>
      <c r="B87" s="64" t="s">
        <v>195</v>
      </c>
      <c r="C87" s="60">
        <f>G87-E87-D87</f>
        <v>188351.7899999998</v>
      </c>
      <c r="D87" s="60">
        <v>39322.5</v>
      </c>
      <c r="E87" s="60">
        <f>54515.34+1138136.87+2306.65</f>
        <v>1194958.8600000001</v>
      </c>
      <c r="F87" s="60"/>
      <c r="G87" s="60">
        <v>1422633.15</v>
      </c>
      <c r="H87" s="60">
        <f>G87*1.2</f>
        <v>1707159.7799999998</v>
      </c>
      <c r="I87" s="59">
        <v>6589138.3760999981</v>
      </c>
      <c r="J87" s="59">
        <f t="shared" si="24"/>
        <v>7906966.0513199978</v>
      </c>
      <c r="K87" s="58">
        <v>14.41</v>
      </c>
      <c r="L87" s="59">
        <f t="shared" si="26"/>
        <v>2714149.2938999971</v>
      </c>
      <c r="M87" s="58">
        <v>6.77</v>
      </c>
      <c r="N87" s="59">
        <f t="shared" si="27"/>
        <v>266213.32500000001</v>
      </c>
      <c r="O87" s="58">
        <v>3.02</v>
      </c>
      <c r="P87" s="59">
        <f t="shared" si="28"/>
        <v>3608775.7572000003</v>
      </c>
      <c r="Q87" s="58"/>
      <c r="R87" s="63"/>
      <c r="S87" s="59">
        <v>0</v>
      </c>
      <c r="T87" s="72">
        <f t="shared" si="10"/>
        <v>7906966.0513199978</v>
      </c>
    </row>
    <row r="88" spans="1:20" hidden="1" x14ac:dyDescent="0.25">
      <c r="A88" s="62">
        <v>84</v>
      </c>
      <c r="B88" s="64" t="s">
        <v>196</v>
      </c>
      <c r="C88" s="60">
        <f>G88-D88-E88</f>
        <v>105670.34000000004</v>
      </c>
      <c r="D88" s="60">
        <v>32699.42</v>
      </c>
      <c r="E88" s="60">
        <f>10485+117170.73+2306.65</f>
        <v>129962.37999999999</v>
      </c>
      <c r="F88" s="60"/>
      <c r="G88" s="60">
        <v>268332.14</v>
      </c>
      <c r="H88" s="60">
        <v>321998.56</v>
      </c>
      <c r="I88" s="59">
        <v>2136571.0604000003</v>
      </c>
      <c r="J88" s="59">
        <f t="shared" si="24"/>
        <v>2563885.2724800003</v>
      </c>
      <c r="K88" s="58">
        <v>14.41</v>
      </c>
      <c r="L88" s="59">
        <f t="shared" si="26"/>
        <v>1522709.5994000006</v>
      </c>
      <c r="M88" s="58">
        <v>6.77</v>
      </c>
      <c r="N88" s="59">
        <f t="shared" si="27"/>
        <v>221375.07339999996</v>
      </c>
      <c r="O88" s="58">
        <v>3.02</v>
      </c>
      <c r="P88" s="59">
        <f t="shared" si="28"/>
        <v>392486.38759999996</v>
      </c>
      <c r="Q88" s="58"/>
      <c r="R88" s="63"/>
      <c r="S88" s="59">
        <v>0</v>
      </c>
      <c r="T88" s="72">
        <f t="shared" si="10"/>
        <v>2563885.2724800003</v>
      </c>
    </row>
    <row r="89" spans="1:20" hidden="1" x14ac:dyDescent="0.25">
      <c r="A89" s="62">
        <v>85</v>
      </c>
      <c r="B89" s="64" t="s">
        <v>197</v>
      </c>
      <c r="C89" s="60">
        <f>G89-E89-D89</f>
        <v>106425.31000000003</v>
      </c>
      <c r="D89" s="60">
        <v>32172.93</v>
      </c>
      <c r="E89" s="60">
        <f>10485+128659.2+2306.65</f>
        <v>141450.85</v>
      </c>
      <c r="F89" s="60"/>
      <c r="G89" s="60">
        <v>280049.09000000003</v>
      </c>
      <c r="H89" s="60">
        <f>G89*1.2</f>
        <v>336058.908</v>
      </c>
      <c r="I89" s="59">
        <v>2178581.0202000001</v>
      </c>
      <c r="J89" s="59">
        <f t="shared" si="24"/>
        <v>2614297.2242399999</v>
      </c>
      <c r="K89" s="58">
        <v>14.41</v>
      </c>
      <c r="L89" s="59">
        <f t="shared" si="26"/>
        <v>1533588.7171000005</v>
      </c>
      <c r="M89" s="58">
        <v>6.77</v>
      </c>
      <c r="N89" s="59">
        <f t="shared" si="27"/>
        <v>217810.73609999998</v>
      </c>
      <c r="O89" s="58">
        <v>3.02</v>
      </c>
      <c r="P89" s="59">
        <f t="shared" si="28"/>
        <v>427181.56700000004</v>
      </c>
      <c r="Q89" s="58"/>
      <c r="R89" s="63"/>
      <c r="S89" s="59">
        <v>0</v>
      </c>
      <c r="T89" s="72">
        <f t="shared" si="10"/>
        <v>2614297.2242399999</v>
      </c>
    </row>
    <row r="90" spans="1:20" hidden="1" x14ac:dyDescent="0.25">
      <c r="A90" s="62">
        <v>86</v>
      </c>
      <c r="B90" s="64" t="s">
        <v>198</v>
      </c>
      <c r="C90" s="60">
        <f>G90-E90-D90</f>
        <v>108779.00000000003</v>
      </c>
      <c r="D90" s="60">
        <v>32206.79</v>
      </c>
      <c r="E90" s="60">
        <f>10485+161278.09+2306.65</f>
        <v>174069.74</v>
      </c>
      <c r="F90" s="60"/>
      <c r="G90" s="60">
        <v>315055.53000000003</v>
      </c>
      <c r="H90" s="60">
        <f>G90*1.2</f>
        <v>378066.636</v>
      </c>
      <c r="I90" s="59">
        <v>2311235.9731000005</v>
      </c>
      <c r="J90" s="59">
        <f t="shared" si="24"/>
        <v>2773483.1677200007</v>
      </c>
      <c r="K90" s="58">
        <v>14.41</v>
      </c>
      <c r="L90" s="59">
        <f t="shared" si="26"/>
        <v>1567505.3900000004</v>
      </c>
      <c r="M90" s="58">
        <v>6.77</v>
      </c>
      <c r="N90" s="59">
        <f t="shared" si="27"/>
        <v>218039.96829999998</v>
      </c>
      <c r="O90" s="58">
        <v>3.02</v>
      </c>
      <c r="P90" s="59">
        <f t="shared" si="28"/>
        <v>525690.61479999998</v>
      </c>
      <c r="Q90" s="58"/>
      <c r="R90" s="63"/>
      <c r="S90" s="59">
        <v>0</v>
      </c>
      <c r="T90" s="72">
        <f t="shared" si="10"/>
        <v>2773483.1677200007</v>
      </c>
    </row>
    <row r="91" spans="1:20" s="21" customFormat="1" hidden="1" x14ac:dyDescent="0.25">
      <c r="A91" s="62">
        <v>87</v>
      </c>
      <c r="B91" s="64" t="s">
        <v>199</v>
      </c>
      <c r="C91" s="60">
        <f>G91-E91-D91</f>
        <v>113266.94000000002</v>
      </c>
      <c r="D91" s="60">
        <v>32247.99</v>
      </c>
      <c r="E91" s="60">
        <f>10485+212079.8+2306.65</f>
        <v>224871.44999999998</v>
      </c>
      <c r="F91" s="60"/>
      <c r="G91" s="60">
        <v>370386.38</v>
      </c>
      <c r="H91" s="60">
        <f>G91*1.2</f>
        <v>444463.65600000002</v>
      </c>
      <c r="I91" s="59">
        <v>2529607.2767000003</v>
      </c>
      <c r="J91" s="59">
        <f t="shared" si="24"/>
        <v>3035528.7320400001</v>
      </c>
      <c r="K91" s="58">
        <v>14.41</v>
      </c>
      <c r="L91" s="59">
        <f t="shared" si="26"/>
        <v>1632176.6054000002</v>
      </c>
      <c r="M91" s="58">
        <v>6.77</v>
      </c>
      <c r="N91" s="59">
        <f t="shared" si="27"/>
        <v>218318.89230000001</v>
      </c>
      <c r="O91" s="58">
        <v>3.02</v>
      </c>
      <c r="P91" s="59">
        <f t="shared" si="28"/>
        <v>679111.77899999998</v>
      </c>
      <c r="Q91" s="58"/>
      <c r="R91" s="63"/>
      <c r="S91" s="59">
        <v>0</v>
      </c>
      <c r="T91" s="72">
        <f t="shared" si="10"/>
        <v>3035528.7320400001</v>
      </c>
    </row>
    <row r="92" spans="1:20" hidden="1" x14ac:dyDescent="0.25">
      <c r="A92" s="62">
        <v>88</v>
      </c>
      <c r="B92" s="64" t="s">
        <v>200</v>
      </c>
      <c r="C92" s="60">
        <f>G92-E92-D92</f>
        <v>115892.09999999998</v>
      </c>
      <c r="D92" s="60">
        <v>32253</v>
      </c>
      <c r="E92" s="60">
        <f>10485+243123.97+2306.65</f>
        <v>255915.62</v>
      </c>
      <c r="F92" s="60"/>
      <c r="G92" s="60">
        <v>404060.72</v>
      </c>
      <c r="H92" s="60">
        <v>484872.87</v>
      </c>
      <c r="I92" s="59">
        <v>2661223.1433999995</v>
      </c>
      <c r="J92" s="59">
        <f t="shared" si="24"/>
        <v>3193467.7720799991</v>
      </c>
      <c r="K92" s="58">
        <v>14.41</v>
      </c>
      <c r="L92" s="59">
        <f t="shared" si="26"/>
        <v>1670005.1609999996</v>
      </c>
      <c r="M92" s="58">
        <v>6.77</v>
      </c>
      <c r="N92" s="59">
        <f t="shared" si="27"/>
        <v>218352.81</v>
      </c>
      <c r="O92" s="58">
        <v>3.02</v>
      </c>
      <c r="P92" s="59">
        <f t="shared" si="28"/>
        <v>772865.17240000004</v>
      </c>
      <c r="Q92" s="58"/>
      <c r="R92" s="63"/>
      <c r="S92" s="59">
        <v>0</v>
      </c>
      <c r="T92" s="72">
        <f t="shared" si="10"/>
        <v>3193467.7720799991</v>
      </c>
    </row>
    <row r="93" spans="1:20" hidden="1" x14ac:dyDescent="0.25">
      <c r="A93" s="62">
        <v>89</v>
      </c>
      <c r="B93" s="64" t="s">
        <v>201</v>
      </c>
      <c r="C93" s="60">
        <f>G93-E93-D93</f>
        <v>116592.82</v>
      </c>
      <c r="D93" s="60">
        <v>32253</v>
      </c>
      <c r="E93" s="60">
        <f>39838.56+295309.29+2306.65</f>
        <v>337454.5</v>
      </c>
      <c r="F93" s="60"/>
      <c r="G93" s="60">
        <v>486300.32</v>
      </c>
      <c r="H93" s="60">
        <v>583560.39</v>
      </c>
      <c r="I93" s="59">
        <v>2917567.9362000003</v>
      </c>
      <c r="J93" s="59">
        <f t="shared" si="24"/>
        <v>3501081.5234400001</v>
      </c>
      <c r="K93" s="58">
        <v>14.41</v>
      </c>
      <c r="L93" s="59">
        <f t="shared" si="26"/>
        <v>1680102.5362000002</v>
      </c>
      <c r="M93" s="58">
        <v>6.77</v>
      </c>
      <c r="N93" s="59">
        <f t="shared" si="27"/>
        <v>218352.81</v>
      </c>
      <c r="O93" s="58">
        <v>3.02</v>
      </c>
      <c r="P93" s="59">
        <f t="shared" si="28"/>
        <v>1019112.59</v>
      </c>
      <c r="Q93" s="58"/>
      <c r="R93" s="63"/>
      <c r="S93" s="59">
        <v>0</v>
      </c>
      <c r="T93" s="72">
        <f t="shared" si="10"/>
        <v>3501081.5234400001</v>
      </c>
    </row>
    <row r="94" spans="1:20" hidden="1" x14ac:dyDescent="0.25">
      <c r="A94" s="62">
        <v>90</v>
      </c>
      <c r="B94" s="64" t="s">
        <v>202</v>
      </c>
      <c r="C94" s="60">
        <f>G94-E94-D93</f>
        <v>123224.15999999992</v>
      </c>
      <c r="D94" s="60">
        <v>32213.759999999998</v>
      </c>
      <c r="E94" s="60">
        <f>39838.56+377823.82+2306.65</f>
        <v>419969.03</v>
      </c>
      <c r="F94" s="60"/>
      <c r="G94" s="60">
        <v>575446.18999999994</v>
      </c>
      <c r="H94" s="60">
        <f>G94*1.2</f>
        <v>690535.42799999996</v>
      </c>
      <c r="I94" s="59">
        <v>3262053.771399999</v>
      </c>
      <c r="J94" s="59">
        <f t="shared" si="24"/>
        <v>3914464.5256799986</v>
      </c>
      <c r="K94" s="58">
        <v>14.41</v>
      </c>
      <c r="L94" s="59">
        <f t="shared" si="26"/>
        <v>1775660.1455999988</v>
      </c>
      <c r="M94" s="58">
        <v>6.77</v>
      </c>
      <c r="N94" s="59">
        <f t="shared" si="27"/>
        <v>218087.15519999998</v>
      </c>
      <c r="O94" s="58">
        <v>3.02</v>
      </c>
      <c r="P94" s="59">
        <f t="shared" si="28"/>
        <v>1268306.4706000001</v>
      </c>
      <c r="Q94" s="58"/>
      <c r="R94" s="63"/>
      <c r="S94" s="59">
        <v>0</v>
      </c>
      <c r="T94" s="72">
        <f t="shared" ref="T94:T157" si="30">I94*1.2</f>
        <v>3914464.5256799986</v>
      </c>
    </row>
    <row r="95" spans="1:20" hidden="1" x14ac:dyDescent="0.25">
      <c r="A95" s="62">
        <v>91</v>
      </c>
      <c r="B95" s="64" t="s">
        <v>203</v>
      </c>
      <c r="C95" s="60">
        <f t="shared" ref="C95:C158" si="31">G95-E95-D95</f>
        <v>130534.85000000003</v>
      </c>
      <c r="D95" s="60">
        <v>32256.44</v>
      </c>
      <c r="E95" s="60">
        <f>39838.56+464793.31+2306.65</f>
        <v>506938.52</v>
      </c>
      <c r="F95" s="60"/>
      <c r="G95" s="60">
        <v>669729.81000000006</v>
      </c>
      <c r="H95" s="60">
        <v>803675.78</v>
      </c>
      <c r="I95" s="59">
        <v>3630337.6177000003</v>
      </c>
      <c r="J95" s="59">
        <f t="shared" si="24"/>
        <v>4356405.1412399998</v>
      </c>
      <c r="K95" s="58">
        <v>14.41</v>
      </c>
      <c r="L95" s="59">
        <f t="shared" si="26"/>
        <v>1881007.1885000006</v>
      </c>
      <c r="M95" s="58">
        <v>6.77</v>
      </c>
      <c r="N95" s="59">
        <f t="shared" si="27"/>
        <v>218376.09879999998</v>
      </c>
      <c r="O95" s="58">
        <v>3.02</v>
      </c>
      <c r="P95" s="59">
        <f t="shared" si="28"/>
        <v>1530954.3304000001</v>
      </c>
      <c r="Q95" s="58"/>
      <c r="R95" s="63"/>
      <c r="S95" s="59">
        <v>0</v>
      </c>
      <c r="T95" s="72">
        <f t="shared" si="30"/>
        <v>4356405.1412399998</v>
      </c>
    </row>
    <row r="96" spans="1:20" hidden="1" x14ac:dyDescent="0.25">
      <c r="A96" s="62">
        <v>92</v>
      </c>
      <c r="B96" s="64" t="s">
        <v>76</v>
      </c>
      <c r="C96" s="60">
        <f t="shared" si="31"/>
        <v>151032.79999999999</v>
      </c>
      <c r="D96" s="60">
        <v>44448.55</v>
      </c>
      <c r="E96" s="60">
        <f>10485+256149.8+2306.65</f>
        <v>268941.45</v>
      </c>
      <c r="F96" s="60"/>
      <c r="G96" s="60">
        <v>464422.8</v>
      </c>
      <c r="H96" s="60">
        <v>557307.35</v>
      </c>
      <c r="I96" s="59">
        <v>3289502.5104999999</v>
      </c>
      <c r="J96" s="59">
        <f t="shared" si="24"/>
        <v>3947403.0125999996</v>
      </c>
      <c r="K96" s="58">
        <v>14.41</v>
      </c>
      <c r="L96" s="59">
        <f t="shared" si="26"/>
        <v>2176382.648</v>
      </c>
      <c r="M96" s="58">
        <v>6.77</v>
      </c>
      <c r="N96" s="59">
        <f t="shared" si="27"/>
        <v>300916.68349999998</v>
      </c>
      <c r="O96" s="58">
        <v>3.02</v>
      </c>
      <c r="P96" s="59">
        <f t="shared" si="28"/>
        <v>812203.179</v>
      </c>
      <c r="Q96" s="58"/>
      <c r="R96" s="63"/>
      <c r="S96" s="59">
        <v>0</v>
      </c>
      <c r="T96" s="72">
        <f t="shared" si="30"/>
        <v>3947403.0125999996</v>
      </c>
    </row>
    <row r="97" spans="1:20" hidden="1" x14ac:dyDescent="0.25">
      <c r="A97" s="62">
        <v>93</v>
      </c>
      <c r="B97" s="64" t="s">
        <v>77</v>
      </c>
      <c r="C97" s="60">
        <f t="shared" si="31"/>
        <v>156116.17999999993</v>
      </c>
      <c r="D97" s="60">
        <v>44448.55</v>
      </c>
      <c r="E97" s="60">
        <f>10485+321387.58+2306.65</f>
        <v>334179.23000000004</v>
      </c>
      <c r="F97" s="60"/>
      <c r="G97" s="60">
        <v>534743.96</v>
      </c>
      <c r="H97" s="60">
        <f>G97*1.2</f>
        <v>641692.75199999998</v>
      </c>
      <c r="I97" s="59">
        <v>3559772.111899999</v>
      </c>
      <c r="J97" s="59">
        <f t="shared" si="24"/>
        <v>4271726.5342799984</v>
      </c>
      <c r="K97" s="58">
        <v>14.41</v>
      </c>
      <c r="L97" s="59">
        <f t="shared" si="26"/>
        <v>2249634.153799999</v>
      </c>
      <c r="M97" s="58">
        <v>6.77</v>
      </c>
      <c r="N97" s="59">
        <f t="shared" si="27"/>
        <v>300916.68349999998</v>
      </c>
      <c r="O97" s="58">
        <v>3.02</v>
      </c>
      <c r="P97" s="59">
        <f t="shared" si="28"/>
        <v>1009221.2746000001</v>
      </c>
      <c r="Q97" s="58"/>
      <c r="R97" s="63"/>
      <c r="S97" s="59">
        <v>0</v>
      </c>
      <c r="T97" s="72">
        <f t="shared" si="30"/>
        <v>4271726.5342799984</v>
      </c>
    </row>
    <row r="98" spans="1:20" hidden="1" x14ac:dyDescent="0.25">
      <c r="A98" s="62">
        <v>94</v>
      </c>
      <c r="B98" s="64" t="s">
        <v>78</v>
      </c>
      <c r="C98" s="60">
        <f t="shared" si="31"/>
        <v>165092.06</v>
      </c>
      <c r="D98" s="60">
        <v>44530.95</v>
      </c>
      <c r="E98" s="60">
        <f>10485+422991+2306.65</f>
        <v>435782.65</v>
      </c>
      <c r="F98" s="60"/>
      <c r="G98" s="60">
        <v>645405.66</v>
      </c>
      <c r="H98" s="60">
        <f>G98*1.2</f>
        <v>774486.79200000002</v>
      </c>
      <c r="I98" s="59">
        <v>3996514.7191000003</v>
      </c>
      <c r="J98" s="59">
        <f t="shared" si="24"/>
        <v>4795817.66292</v>
      </c>
      <c r="K98" s="58">
        <v>14.41</v>
      </c>
      <c r="L98" s="59">
        <f t="shared" si="26"/>
        <v>2378976.5846000002</v>
      </c>
      <c r="M98" s="58">
        <v>6.77</v>
      </c>
      <c r="N98" s="59">
        <f t="shared" si="27"/>
        <v>301474.53149999998</v>
      </c>
      <c r="O98" s="58">
        <v>3.02</v>
      </c>
      <c r="P98" s="59">
        <f t="shared" si="28"/>
        <v>1316063.6030000001</v>
      </c>
      <c r="Q98" s="58"/>
      <c r="R98" s="63"/>
      <c r="S98" s="59">
        <v>0</v>
      </c>
      <c r="T98" s="72">
        <f t="shared" si="30"/>
        <v>4795817.66292</v>
      </c>
    </row>
    <row r="99" spans="1:20" hidden="1" x14ac:dyDescent="0.25">
      <c r="A99" s="62">
        <v>95</v>
      </c>
      <c r="B99" s="64" t="s">
        <v>79</v>
      </c>
      <c r="C99" s="60">
        <f t="shared" si="31"/>
        <v>174102.44999999998</v>
      </c>
      <c r="D99" s="60">
        <v>44540.97</v>
      </c>
      <c r="E99" s="60">
        <f>10485+484197.41+2306.65</f>
        <v>496989.06</v>
      </c>
      <c r="F99" s="60"/>
      <c r="G99" s="60">
        <v>715632.48</v>
      </c>
      <c r="H99" s="60">
        <f>G99*1.2</f>
        <v>858758.97599999991</v>
      </c>
      <c r="I99" s="59">
        <v>4311265.6325999992</v>
      </c>
      <c r="J99" s="59">
        <f t="shared" si="24"/>
        <v>5173518.7591199987</v>
      </c>
      <c r="K99" s="58">
        <v>14.41</v>
      </c>
      <c r="L99" s="59">
        <f t="shared" si="26"/>
        <v>2508816.3044999996</v>
      </c>
      <c r="M99" s="58">
        <v>6.77</v>
      </c>
      <c r="N99" s="59">
        <f t="shared" si="27"/>
        <v>301542.36689999996</v>
      </c>
      <c r="O99" s="58">
        <v>3.02</v>
      </c>
      <c r="P99" s="59">
        <f t="shared" si="28"/>
        <v>1500906.9612</v>
      </c>
      <c r="Q99" s="58"/>
      <c r="R99" s="63"/>
      <c r="S99" s="59">
        <v>0</v>
      </c>
      <c r="T99" s="72">
        <f t="shared" si="30"/>
        <v>5173518.7591199987</v>
      </c>
    </row>
    <row r="100" spans="1:20" hidden="1" x14ac:dyDescent="0.25">
      <c r="A100" s="62">
        <v>96</v>
      </c>
      <c r="B100" s="64" t="s">
        <v>80</v>
      </c>
      <c r="C100" s="60">
        <f t="shared" si="31"/>
        <v>176971.35000000006</v>
      </c>
      <c r="D100" s="60">
        <v>44540.97</v>
      </c>
      <c r="E100" s="60">
        <f>54515.34+589449.98+2306.65</f>
        <v>646271.97</v>
      </c>
      <c r="F100" s="60"/>
      <c r="G100" s="60">
        <v>867784.29</v>
      </c>
      <c r="H100" s="60">
        <f>G100*1.2</f>
        <v>1041341.148</v>
      </c>
      <c r="I100" s="59">
        <v>4803440.8698000005</v>
      </c>
      <c r="J100" s="59">
        <f t="shared" si="24"/>
        <v>5764129.0437600007</v>
      </c>
      <c r="K100" s="58">
        <v>14.41</v>
      </c>
      <c r="L100" s="59">
        <f t="shared" si="26"/>
        <v>2550157.1535000009</v>
      </c>
      <c r="M100" s="58">
        <v>6.77</v>
      </c>
      <c r="N100" s="59">
        <f t="shared" si="27"/>
        <v>301542.36689999996</v>
      </c>
      <c r="O100" s="58">
        <v>3.02</v>
      </c>
      <c r="P100" s="59">
        <f t="shared" si="28"/>
        <v>1951741.3493999999</v>
      </c>
      <c r="Q100" s="58"/>
      <c r="R100" s="63"/>
      <c r="S100" s="59">
        <v>0</v>
      </c>
      <c r="T100" s="72">
        <f t="shared" si="30"/>
        <v>5764129.0437600007</v>
      </c>
    </row>
    <row r="101" spans="1:20" hidden="1" x14ac:dyDescent="0.25">
      <c r="A101" s="62">
        <v>97</v>
      </c>
      <c r="B101" s="64" t="s">
        <v>81</v>
      </c>
      <c r="C101" s="60">
        <f t="shared" si="31"/>
        <v>190305.47000000006</v>
      </c>
      <c r="D101" s="60">
        <v>44540.97</v>
      </c>
      <c r="E101" s="60">
        <f>2287.17+754361.95+54515.34</f>
        <v>811164.46</v>
      </c>
      <c r="F101" s="60"/>
      <c r="G101" s="60">
        <v>1046010.9</v>
      </c>
      <c r="H101" s="60">
        <f>G101*1.2</f>
        <v>1255213.08</v>
      </c>
      <c r="I101" s="59">
        <v>5493560.8588000005</v>
      </c>
      <c r="J101" s="59">
        <f t="shared" si="24"/>
        <v>6592273.0305600008</v>
      </c>
      <c r="K101" s="58">
        <v>14.41</v>
      </c>
      <c r="L101" s="59">
        <f t="shared" si="26"/>
        <v>2742301.8227000008</v>
      </c>
      <c r="M101" s="58">
        <v>6.77</v>
      </c>
      <c r="N101" s="59">
        <f t="shared" si="27"/>
        <v>301542.36689999996</v>
      </c>
      <c r="O101" s="58">
        <v>3.02</v>
      </c>
      <c r="P101" s="59">
        <f t="shared" si="28"/>
        <v>2449716.6691999999</v>
      </c>
      <c r="Q101" s="58"/>
      <c r="R101" s="63"/>
      <c r="S101" s="59">
        <v>0</v>
      </c>
      <c r="T101" s="72">
        <f t="shared" si="30"/>
        <v>6592273.0305600008</v>
      </c>
    </row>
    <row r="102" spans="1:20" hidden="1" x14ac:dyDescent="0.25">
      <c r="A102" s="62">
        <v>98</v>
      </c>
      <c r="B102" s="64" t="s">
        <v>204</v>
      </c>
      <c r="C102" s="60">
        <f t="shared" si="31"/>
        <v>205402.1700000001</v>
      </c>
      <c r="D102" s="60">
        <v>44713.69</v>
      </c>
      <c r="E102" s="60">
        <f>54515.34+928418.01+2306.65</f>
        <v>985240</v>
      </c>
      <c r="F102" s="60"/>
      <c r="G102" s="60">
        <v>1235355.8600000001</v>
      </c>
      <c r="H102" s="60">
        <v>1482427.04</v>
      </c>
      <c r="I102" s="59">
        <v>6237981.7510000011</v>
      </c>
      <c r="J102" s="59">
        <f t="shared" si="24"/>
        <v>7485578.1012000013</v>
      </c>
      <c r="K102" s="58">
        <v>14.41</v>
      </c>
      <c r="L102" s="59">
        <f t="shared" si="26"/>
        <v>2959845.2697000015</v>
      </c>
      <c r="M102" s="58">
        <v>6.77</v>
      </c>
      <c r="N102" s="59">
        <f t="shared" si="27"/>
        <v>302711.6813</v>
      </c>
      <c r="O102" s="58">
        <v>3.02</v>
      </c>
      <c r="P102" s="59">
        <f t="shared" si="28"/>
        <v>2975424.8</v>
      </c>
      <c r="Q102" s="58"/>
      <c r="R102" s="63"/>
      <c r="S102" s="59">
        <v>0</v>
      </c>
      <c r="T102" s="72">
        <f t="shared" si="30"/>
        <v>7485578.1012000013</v>
      </c>
    </row>
    <row r="103" spans="1:20" hidden="1" x14ac:dyDescent="0.25">
      <c r="A103" s="62">
        <v>99</v>
      </c>
      <c r="B103" s="64" t="s">
        <v>205</v>
      </c>
      <c r="C103" s="60">
        <f t="shared" si="31"/>
        <v>111616.70999999999</v>
      </c>
      <c r="D103" s="60">
        <v>25677.21</v>
      </c>
      <c r="E103" s="60">
        <f>10485+381310.2+1579.27</f>
        <v>393374.47000000003</v>
      </c>
      <c r="F103" s="60"/>
      <c r="G103" s="60">
        <v>530668.39</v>
      </c>
      <c r="H103" s="60">
        <f>G103*1.2</f>
        <v>636802.06799999997</v>
      </c>
      <c r="I103" s="59">
        <v>2970222.4021999999</v>
      </c>
      <c r="J103" s="59">
        <f t="shared" si="24"/>
        <v>3564266.88264</v>
      </c>
      <c r="K103" s="58">
        <v>14.41</v>
      </c>
      <c r="L103" s="59">
        <f t="shared" si="26"/>
        <v>1608396.7910999998</v>
      </c>
      <c r="M103" s="58">
        <v>6.77</v>
      </c>
      <c r="N103" s="59">
        <f t="shared" si="27"/>
        <v>173834.71169999999</v>
      </c>
      <c r="O103" s="58">
        <v>3.02</v>
      </c>
      <c r="P103" s="59">
        <f t="shared" si="28"/>
        <v>1187990.8994</v>
      </c>
      <c r="Q103" s="58"/>
      <c r="R103" s="63"/>
      <c r="S103" s="59">
        <v>0</v>
      </c>
      <c r="T103" s="72">
        <f t="shared" si="30"/>
        <v>3564266.88264</v>
      </c>
    </row>
    <row r="104" spans="1:20" hidden="1" x14ac:dyDescent="0.25">
      <c r="A104" s="62">
        <v>100</v>
      </c>
      <c r="B104" s="64" t="s">
        <v>82</v>
      </c>
      <c r="C104" s="60">
        <f t="shared" si="31"/>
        <v>114031.97000000004</v>
      </c>
      <c r="D104" s="60">
        <v>26710.77</v>
      </c>
      <c r="E104" s="60">
        <f>10485+415812.42+1579.27</f>
        <v>427876.69</v>
      </c>
      <c r="F104" s="60"/>
      <c r="G104" s="60">
        <v>568619.43000000005</v>
      </c>
      <c r="H104" s="60">
        <v>682343.31</v>
      </c>
      <c r="I104" s="59">
        <v>3116220.2044000002</v>
      </c>
      <c r="J104" s="59">
        <f t="shared" si="24"/>
        <v>3739464.2452799999</v>
      </c>
      <c r="K104" s="58">
        <v>14.41</v>
      </c>
      <c r="L104" s="59">
        <f t="shared" si="26"/>
        <v>1643200.6877000006</v>
      </c>
      <c r="M104" s="58">
        <v>6.77</v>
      </c>
      <c r="N104" s="59">
        <f t="shared" si="27"/>
        <v>180831.9129</v>
      </c>
      <c r="O104" s="58">
        <v>3.02</v>
      </c>
      <c r="P104" s="59">
        <f t="shared" si="28"/>
        <v>1292187.6037999999</v>
      </c>
      <c r="Q104" s="58"/>
      <c r="R104" s="63"/>
      <c r="S104" s="59">
        <v>0</v>
      </c>
      <c r="T104" s="72">
        <f t="shared" si="30"/>
        <v>3739464.2452799999</v>
      </c>
    </row>
    <row r="105" spans="1:20" hidden="1" x14ac:dyDescent="0.25">
      <c r="A105" s="62">
        <v>101</v>
      </c>
      <c r="B105" s="64" t="s">
        <v>206</v>
      </c>
      <c r="C105" s="60">
        <f t="shared" si="31"/>
        <v>108396.74999999996</v>
      </c>
      <c r="D105" s="60">
        <v>28324.639999999999</v>
      </c>
      <c r="E105" s="60">
        <f>39838.56+473323.62+1579.27</f>
        <v>514741.45</v>
      </c>
      <c r="F105" s="60"/>
      <c r="G105" s="60">
        <v>651462.84</v>
      </c>
      <c r="H105" s="60">
        <f>G105*1.2</f>
        <v>781755.40799999994</v>
      </c>
      <c r="I105" s="59">
        <v>3308274.1592999995</v>
      </c>
      <c r="J105" s="59">
        <f t="shared" si="24"/>
        <v>3969928.9911599993</v>
      </c>
      <c r="K105" s="58">
        <v>14.41</v>
      </c>
      <c r="L105" s="59">
        <f t="shared" si="26"/>
        <v>1561997.1674999993</v>
      </c>
      <c r="M105" s="58">
        <v>6.77</v>
      </c>
      <c r="N105" s="59">
        <f t="shared" si="27"/>
        <v>191757.81279999999</v>
      </c>
      <c r="O105" s="58">
        <v>3.02</v>
      </c>
      <c r="P105" s="59">
        <f t="shared" si="28"/>
        <v>1554519.179</v>
      </c>
      <c r="Q105" s="58"/>
      <c r="R105" s="63"/>
      <c r="S105" s="59">
        <v>0</v>
      </c>
      <c r="T105" s="72">
        <f t="shared" si="30"/>
        <v>3969928.9911599993</v>
      </c>
    </row>
    <row r="106" spans="1:20" hidden="1" x14ac:dyDescent="0.25">
      <c r="A106" s="62">
        <v>102</v>
      </c>
      <c r="B106" s="64" t="s">
        <v>207</v>
      </c>
      <c r="C106" s="60">
        <f t="shared" si="31"/>
        <v>113655.71000000002</v>
      </c>
      <c r="D106" s="60">
        <v>27447.439999999999</v>
      </c>
      <c r="E106" s="60">
        <f>39838.56+532802.68+1579.27</f>
        <v>574220.51</v>
      </c>
      <c r="F106" s="60"/>
      <c r="G106" s="60">
        <v>715323.66</v>
      </c>
      <c r="H106" s="60">
        <f>G106*1.2</f>
        <v>858388.39199999999</v>
      </c>
      <c r="I106" s="59">
        <v>3557743.8901000004</v>
      </c>
      <c r="J106" s="59">
        <f t="shared" si="24"/>
        <v>4269292.6681200005</v>
      </c>
      <c r="K106" s="58">
        <v>14.41</v>
      </c>
      <c r="L106" s="59">
        <f t="shared" si="26"/>
        <v>1637778.7811000003</v>
      </c>
      <c r="M106" s="58">
        <v>6.77</v>
      </c>
      <c r="N106" s="59">
        <f t="shared" si="27"/>
        <v>185819.16879999998</v>
      </c>
      <c r="O106" s="58">
        <v>3.02</v>
      </c>
      <c r="P106" s="59">
        <f t="shared" si="28"/>
        <v>1734145.9402000001</v>
      </c>
      <c r="Q106" s="58"/>
      <c r="R106" s="63"/>
      <c r="S106" s="59">
        <v>0</v>
      </c>
      <c r="T106" s="72">
        <f t="shared" si="30"/>
        <v>4269292.6681200005</v>
      </c>
    </row>
    <row r="107" spans="1:20" s="20" customFormat="1" hidden="1" x14ac:dyDescent="0.25">
      <c r="A107" s="62">
        <v>103</v>
      </c>
      <c r="B107" s="64" t="s">
        <v>208</v>
      </c>
      <c r="C107" s="60">
        <f t="shared" si="31"/>
        <v>121040.43999999996</v>
      </c>
      <c r="D107" s="60">
        <v>29324.02</v>
      </c>
      <c r="E107" s="60">
        <f>39838.56+605536.51+1579.27</f>
        <v>646954.34000000008</v>
      </c>
      <c r="F107" s="60"/>
      <c r="G107" s="60">
        <v>797318.8</v>
      </c>
      <c r="H107" s="60">
        <f>G107*1.2</f>
        <v>956782.56</v>
      </c>
      <c r="I107" s="59">
        <v>3896518.4625999993</v>
      </c>
      <c r="J107" s="59">
        <f t="shared" si="24"/>
        <v>4675822.1551199993</v>
      </c>
      <c r="K107" s="58">
        <v>14.41</v>
      </c>
      <c r="L107" s="59">
        <f t="shared" si="26"/>
        <v>1744192.7403999993</v>
      </c>
      <c r="M107" s="58">
        <v>6.77</v>
      </c>
      <c r="N107" s="59">
        <f t="shared" si="27"/>
        <v>198523.61539999998</v>
      </c>
      <c r="O107" s="58">
        <v>3.02</v>
      </c>
      <c r="P107" s="59">
        <f t="shared" si="28"/>
        <v>1953802.1068000002</v>
      </c>
      <c r="Q107" s="58"/>
      <c r="R107" s="63"/>
      <c r="S107" s="59">
        <v>0</v>
      </c>
      <c r="T107" s="72">
        <f t="shared" si="30"/>
        <v>4675822.1551199993</v>
      </c>
    </row>
    <row r="108" spans="1:20" hidden="1" x14ac:dyDescent="0.25">
      <c r="A108" s="62">
        <v>104</v>
      </c>
      <c r="B108" s="64" t="s">
        <v>209</v>
      </c>
      <c r="C108" s="60">
        <f t="shared" si="31"/>
        <v>155159.76000000007</v>
      </c>
      <c r="D108" s="60">
        <v>32114.44</v>
      </c>
      <c r="E108" s="60">
        <f>10485+767278.58+2306.65</f>
        <v>780070.23</v>
      </c>
      <c r="F108" s="60"/>
      <c r="G108" s="60">
        <v>967344.43</v>
      </c>
      <c r="H108" s="60">
        <v>1160813.31</v>
      </c>
      <c r="I108" s="59">
        <v>4809078.995000001</v>
      </c>
      <c r="J108" s="59">
        <f t="shared" si="24"/>
        <v>5770894.7940000007</v>
      </c>
      <c r="K108" s="58">
        <v>14.41</v>
      </c>
      <c r="L108" s="59">
        <f t="shared" si="26"/>
        <v>2235852.1416000011</v>
      </c>
      <c r="M108" s="58">
        <v>6.77</v>
      </c>
      <c r="N108" s="59">
        <f t="shared" si="27"/>
        <v>217414.75879999998</v>
      </c>
      <c r="O108" s="58">
        <v>3.02</v>
      </c>
      <c r="P108" s="59">
        <f t="shared" si="28"/>
        <v>2355812.0946</v>
      </c>
      <c r="Q108" s="58"/>
      <c r="R108" s="63"/>
      <c r="S108" s="59">
        <v>0</v>
      </c>
      <c r="T108" s="72">
        <f t="shared" si="30"/>
        <v>5770894.7940000007</v>
      </c>
    </row>
    <row r="109" spans="1:20" hidden="1" x14ac:dyDescent="0.25">
      <c r="A109" s="62">
        <v>105</v>
      </c>
      <c r="B109" s="64" t="s">
        <v>210</v>
      </c>
      <c r="C109" s="60">
        <f t="shared" si="31"/>
        <v>154602.97000000009</v>
      </c>
      <c r="D109" s="60">
        <v>32140.89</v>
      </c>
      <c r="E109" s="60">
        <f>54515.34+834221.99+2306.65</f>
        <v>891043.98</v>
      </c>
      <c r="F109" s="60"/>
      <c r="G109" s="60">
        <v>1077787.8400000001</v>
      </c>
      <c r="H109" s="60">
        <v>1293345.3999999999</v>
      </c>
      <c r="I109" s="59">
        <v>5136375.4426000016</v>
      </c>
      <c r="J109" s="59">
        <f t="shared" si="24"/>
        <v>6163650.5311200013</v>
      </c>
      <c r="K109" s="58">
        <v>14.41</v>
      </c>
      <c r="L109" s="59">
        <f t="shared" si="26"/>
        <v>2227828.7977000014</v>
      </c>
      <c r="M109" s="58">
        <v>6.77</v>
      </c>
      <c r="N109" s="59">
        <f t="shared" si="27"/>
        <v>217593.8253</v>
      </c>
      <c r="O109" s="58">
        <v>3.02</v>
      </c>
      <c r="P109" s="59">
        <f t="shared" si="28"/>
        <v>2690952.8196</v>
      </c>
      <c r="Q109" s="58"/>
      <c r="R109" s="63"/>
      <c r="S109" s="59">
        <v>0</v>
      </c>
      <c r="T109" s="72">
        <f t="shared" si="30"/>
        <v>6163650.5311200013</v>
      </c>
    </row>
    <row r="110" spans="1:20" hidden="1" x14ac:dyDescent="0.25">
      <c r="A110" s="62">
        <v>106</v>
      </c>
      <c r="B110" s="64" t="s">
        <v>211</v>
      </c>
      <c r="C110" s="60">
        <f t="shared" si="31"/>
        <v>169035.63000000003</v>
      </c>
      <c r="D110" s="60">
        <v>36918.29</v>
      </c>
      <c r="E110" s="60">
        <f>54515.34+950369.11+2306.65</f>
        <v>1007191.1</v>
      </c>
      <c r="F110" s="60"/>
      <c r="G110" s="60">
        <v>1213145.02</v>
      </c>
      <c r="H110" s="60">
        <f>G110*1.2</f>
        <v>1455774.024</v>
      </c>
      <c r="I110" s="59">
        <v>5727457.3736000005</v>
      </c>
      <c r="J110" s="59">
        <f t="shared" si="24"/>
        <v>6872948.8483200008</v>
      </c>
      <c r="K110" s="58">
        <v>14.41</v>
      </c>
      <c r="L110" s="59">
        <f t="shared" si="26"/>
        <v>2435803.4283000007</v>
      </c>
      <c r="M110" s="58">
        <v>6.77</v>
      </c>
      <c r="N110" s="59">
        <f t="shared" si="27"/>
        <v>249936.82329999999</v>
      </c>
      <c r="O110" s="58">
        <v>3.02</v>
      </c>
      <c r="P110" s="59">
        <f t="shared" si="28"/>
        <v>3041717.122</v>
      </c>
      <c r="Q110" s="58"/>
      <c r="R110" s="63"/>
      <c r="S110" s="59">
        <v>0</v>
      </c>
      <c r="T110" s="72">
        <f t="shared" si="30"/>
        <v>6872948.8483200008</v>
      </c>
    </row>
    <row r="111" spans="1:20" hidden="1" x14ac:dyDescent="0.25">
      <c r="A111" s="62">
        <v>107</v>
      </c>
      <c r="B111" s="64" t="s">
        <v>212</v>
      </c>
      <c r="C111" s="60">
        <f t="shared" si="31"/>
        <v>180040.58999999994</v>
      </c>
      <c r="D111" s="60">
        <v>35344.1</v>
      </c>
      <c r="E111" s="60">
        <f>54515.34+1065953.84+2306.65</f>
        <v>1122775.83</v>
      </c>
      <c r="F111" s="60"/>
      <c r="G111" s="60">
        <v>1338160.52</v>
      </c>
      <c r="H111" s="60">
        <v>1605792.63</v>
      </c>
      <c r="I111" s="59">
        <v>6224447.465499999</v>
      </c>
      <c r="J111" s="59">
        <f t="shared" si="24"/>
        <v>7469336.9585999986</v>
      </c>
      <c r="K111" s="58">
        <v>14.41</v>
      </c>
      <c r="L111" s="59">
        <f t="shared" si="26"/>
        <v>2594384.901899999</v>
      </c>
      <c r="M111" s="58">
        <v>6.77</v>
      </c>
      <c r="N111" s="59">
        <f t="shared" si="27"/>
        <v>239279.55699999997</v>
      </c>
      <c r="O111" s="58">
        <v>3.02</v>
      </c>
      <c r="P111" s="59">
        <f t="shared" si="28"/>
        <v>3390783.0066000004</v>
      </c>
      <c r="Q111" s="58"/>
      <c r="R111" s="63"/>
      <c r="S111" s="59">
        <v>0</v>
      </c>
      <c r="T111" s="72">
        <f t="shared" si="30"/>
        <v>7469336.9585999986</v>
      </c>
    </row>
    <row r="112" spans="1:20" hidden="1" x14ac:dyDescent="0.25">
      <c r="A112" s="62">
        <v>108</v>
      </c>
      <c r="B112" s="64" t="s">
        <v>213</v>
      </c>
      <c r="C112" s="60">
        <f t="shared" si="31"/>
        <v>195719.79000000007</v>
      </c>
      <c r="D112" s="60">
        <v>40770.769999999997</v>
      </c>
      <c r="E112" s="60">
        <f>54515.34+1209904.44+2306.65</f>
        <v>1266726.43</v>
      </c>
      <c r="F112" s="60"/>
      <c r="G112" s="60">
        <v>1503216.99</v>
      </c>
      <c r="H112" s="60">
        <v>1803860.38</v>
      </c>
      <c r="I112" s="59">
        <v>6921854.1054000016</v>
      </c>
      <c r="J112" s="59">
        <f t="shared" si="24"/>
        <v>8306224.9264800018</v>
      </c>
      <c r="K112" s="58">
        <v>14.41</v>
      </c>
      <c r="L112" s="59">
        <f t="shared" si="26"/>
        <v>2820322.1739000012</v>
      </c>
      <c r="M112" s="58">
        <v>6.77</v>
      </c>
      <c r="N112" s="59">
        <f t="shared" si="27"/>
        <v>276018.11289999995</v>
      </c>
      <c r="O112" s="58">
        <v>3.02</v>
      </c>
      <c r="P112" s="59">
        <f t="shared" si="28"/>
        <v>3825513.8185999999</v>
      </c>
      <c r="Q112" s="58"/>
      <c r="R112" s="63"/>
      <c r="S112" s="59">
        <v>0</v>
      </c>
      <c r="T112" s="72">
        <f t="shared" si="30"/>
        <v>8306224.9264800018</v>
      </c>
    </row>
    <row r="113" spans="1:20" hidden="1" x14ac:dyDescent="0.25">
      <c r="A113" s="62">
        <v>109</v>
      </c>
      <c r="B113" s="64" t="s">
        <v>214</v>
      </c>
      <c r="C113" s="60">
        <f t="shared" si="31"/>
        <v>213215.69000000012</v>
      </c>
      <c r="D113" s="60">
        <v>51389.7</v>
      </c>
      <c r="E113" s="60">
        <f>39838.56+854455.34+1579.27</f>
        <v>895873.16999999993</v>
      </c>
      <c r="F113" s="60"/>
      <c r="G113" s="60">
        <v>1160478.56</v>
      </c>
      <c r="H113" s="60">
        <f t="shared" ref="H113:H118" si="32">G113*1.2</f>
        <v>1392574.2720000001</v>
      </c>
      <c r="I113" s="59">
        <v>6125883.3353000022</v>
      </c>
      <c r="J113" s="59">
        <f t="shared" si="24"/>
        <v>7351060.0023600021</v>
      </c>
      <c r="K113" s="58">
        <v>14.41</v>
      </c>
      <c r="L113" s="59">
        <f t="shared" si="26"/>
        <v>3072438.0929000019</v>
      </c>
      <c r="M113" s="58">
        <v>6.77</v>
      </c>
      <c r="N113" s="59">
        <f t="shared" si="27"/>
        <v>347908.26899999997</v>
      </c>
      <c r="O113" s="58">
        <v>3.02</v>
      </c>
      <c r="P113" s="59">
        <f t="shared" si="28"/>
        <v>2705536.9734</v>
      </c>
      <c r="Q113" s="58"/>
      <c r="R113" s="63"/>
      <c r="S113" s="59">
        <v>0</v>
      </c>
      <c r="T113" s="72">
        <f t="shared" si="30"/>
        <v>7351060.0023600021</v>
      </c>
    </row>
    <row r="114" spans="1:20" hidden="1" x14ac:dyDescent="0.25">
      <c r="A114" s="62">
        <v>110</v>
      </c>
      <c r="B114" s="64" t="s">
        <v>215</v>
      </c>
      <c r="C114" s="60">
        <f t="shared" si="31"/>
        <v>225498.21999999983</v>
      </c>
      <c r="D114" s="60">
        <v>52450.09</v>
      </c>
      <c r="E114" s="60">
        <f>39838.56+1139043.06+1579.27</f>
        <v>1180460.8900000001</v>
      </c>
      <c r="F114" s="60"/>
      <c r="G114" s="60">
        <v>1458409.2</v>
      </c>
      <c r="H114" s="60">
        <f t="shared" si="32"/>
        <v>1750091.0399999998</v>
      </c>
      <c r="I114" s="59">
        <v>7169508.3472999986</v>
      </c>
      <c r="J114" s="59">
        <f t="shared" si="24"/>
        <v>8603410.0167599972</v>
      </c>
      <c r="K114" s="58">
        <v>14.41</v>
      </c>
      <c r="L114" s="59">
        <f t="shared" si="26"/>
        <v>3249429.3501999974</v>
      </c>
      <c r="M114" s="58">
        <v>6.77</v>
      </c>
      <c r="N114" s="59">
        <f t="shared" si="27"/>
        <v>355087.10929999995</v>
      </c>
      <c r="O114" s="58">
        <v>3.02</v>
      </c>
      <c r="P114" s="59">
        <f t="shared" si="28"/>
        <v>3564991.8878000006</v>
      </c>
      <c r="Q114" s="58"/>
      <c r="R114" s="63"/>
      <c r="S114" s="59">
        <v>0</v>
      </c>
      <c r="T114" s="72">
        <f t="shared" si="30"/>
        <v>8603410.0167599972</v>
      </c>
    </row>
    <row r="115" spans="1:20" hidden="1" x14ac:dyDescent="0.25">
      <c r="A115" s="62">
        <v>111</v>
      </c>
      <c r="B115" s="64" t="s">
        <v>216</v>
      </c>
      <c r="C115" s="60">
        <f t="shared" si="31"/>
        <v>259903.21999999991</v>
      </c>
      <c r="D115" s="60">
        <v>52096.93</v>
      </c>
      <c r="E115" s="60">
        <f>39838.56+1556835.51+1579.27</f>
        <v>1598253.34</v>
      </c>
      <c r="F115" s="60"/>
      <c r="G115" s="60">
        <v>1910253.49</v>
      </c>
      <c r="H115" s="60">
        <f t="shared" si="32"/>
        <v>2292304.1880000001</v>
      </c>
      <c r="I115" s="59">
        <v>8924626.7030999996</v>
      </c>
      <c r="J115" s="59">
        <f t="shared" si="24"/>
        <v>10709552.043719999</v>
      </c>
      <c r="K115" s="58">
        <v>14.41</v>
      </c>
      <c r="L115" s="59">
        <f t="shared" si="26"/>
        <v>3745205.4001999986</v>
      </c>
      <c r="M115" s="58">
        <v>6.77</v>
      </c>
      <c r="N115" s="59">
        <f t="shared" si="27"/>
        <v>352696.21609999996</v>
      </c>
      <c r="O115" s="58">
        <v>3.02</v>
      </c>
      <c r="P115" s="59">
        <f t="shared" si="28"/>
        <v>4826725.0868000006</v>
      </c>
      <c r="Q115" s="58"/>
      <c r="R115" s="63"/>
      <c r="S115" s="59">
        <v>0</v>
      </c>
      <c r="T115" s="72">
        <f t="shared" si="30"/>
        <v>10709552.043719999</v>
      </c>
    </row>
    <row r="116" spans="1:20" hidden="1" x14ac:dyDescent="0.25">
      <c r="A116" s="62">
        <v>112</v>
      </c>
      <c r="B116" s="64" t="s">
        <v>217</v>
      </c>
      <c r="C116" s="60">
        <f t="shared" si="31"/>
        <v>268093.55999999988</v>
      </c>
      <c r="D116" s="60">
        <v>52084.33</v>
      </c>
      <c r="E116" s="60">
        <f>39838.56+1660206.05+1579.27</f>
        <v>1701623.8800000001</v>
      </c>
      <c r="F116" s="60"/>
      <c r="G116" s="60">
        <v>2021801.77</v>
      </c>
      <c r="H116" s="60">
        <f t="shared" si="32"/>
        <v>2426162.1239999998</v>
      </c>
      <c r="I116" s="59">
        <v>9354743.2313000001</v>
      </c>
      <c r="J116" s="59">
        <f t="shared" si="24"/>
        <v>11225691.877559999</v>
      </c>
      <c r="K116" s="58">
        <v>14.41</v>
      </c>
      <c r="L116" s="59">
        <f t="shared" si="26"/>
        <v>3863228.1995999985</v>
      </c>
      <c r="M116" s="58">
        <v>6.77</v>
      </c>
      <c r="N116" s="59">
        <f t="shared" si="27"/>
        <v>352610.91409999999</v>
      </c>
      <c r="O116" s="58">
        <v>3.02</v>
      </c>
      <c r="P116" s="59">
        <f t="shared" si="28"/>
        <v>5138904.1176000005</v>
      </c>
      <c r="Q116" s="58"/>
      <c r="R116" s="63"/>
      <c r="S116" s="59">
        <v>0</v>
      </c>
      <c r="T116" s="72">
        <f t="shared" si="30"/>
        <v>11225691.877559999</v>
      </c>
    </row>
    <row r="117" spans="1:20" hidden="1" x14ac:dyDescent="0.25">
      <c r="A117" s="62">
        <v>113</v>
      </c>
      <c r="B117" s="64" t="s">
        <v>218</v>
      </c>
      <c r="C117" s="60">
        <f t="shared" si="31"/>
        <v>278922.59000000003</v>
      </c>
      <c r="D117" s="60">
        <v>51950.96</v>
      </c>
      <c r="E117" s="60">
        <f>47470.81+1815064.28+1579.27</f>
        <v>1864114.36</v>
      </c>
      <c r="F117" s="60"/>
      <c r="G117" s="60">
        <v>2194987.91</v>
      </c>
      <c r="H117" s="60">
        <f t="shared" si="32"/>
        <v>2633985.4920000001</v>
      </c>
      <c r="I117" s="59">
        <v>10000607.888300002</v>
      </c>
      <c r="J117" s="59">
        <f t="shared" si="24"/>
        <v>12000729.465960002</v>
      </c>
      <c r="K117" s="58">
        <v>14.41</v>
      </c>
      <c r="L117" s="59">
        <f t="shared" si="26"/>
        <v>4019274.5219000005</v>
      </c>
      <c r="M117" s="58">
        <v>6.77</v>
      </c>
      <c r="N117" s="59">
        <f t="shared" si="27"/>
        <v>351707.99919999996</v>
      </c>
      <c r="O117" s="58">
        <v>3.02</v>
      </c>
      <c r="P117" s="59">
        <f t="shared" si="28"/>
        <v>5629625.3672000002</v>
      </c>
      <c r="Q117" s="58"/>
      <c r="R117" s="63"/>
      <c r="S117" s="59">
        <v>0</v>
      </c>
      <c r="T117" s="72">
        <f t="shared" si="30"/>
        <v>12000729.465960002</v>
      </c>
    </row>
    <row r="118" spans="1:20" hidden="1" x14ac:dyDescent="0.25">
      <c r="A118" s="62">
        <v>114</v>
      </c>
      <c r="B118" s="64" t="s">
        <v>219</v>
      </c>
      <c r="C118" s="60">
        <f t="shared" si="31"/>
        <v>447743.54</v>
      </c>
      <c r="D118" s="60">
        <v>87612.94</v>
      </c>
      <c r="E118" s="60">
        <f>54515.34+3109298.87+2306.65</f>
        <v>3166120.86</v>
      </c>
      <c r="F118" s="60"/>
      <c r="G118" s="60">
        <v>3701477.34</v>
      </c>
      <c r="H118" s="60">
        <f t="shared" si="32"/>
        <v>4441772.8079999993</v>
      </c>
      <c r="I118" s="59">
        <v>16606809.012399998</v>
      </c>
      <c r="J118" s="59">
        <f t="shared" si="24"/>
        <v>19928170.814879995</v>
      </c>
      <c r="K118" s="58">
        <v>14.41</v>
      </c>
      <c r="L118" s="59">
        <f t="shared" si="26"/>
        <v>6451984.4113999996</v>
      </c>
      <c r="M118" s="58">
        <v>6.77</v>
      </c>
      <c r="N118" s="59">
        <f t="shared" si="27"/>
        <v>593139.60379999992</v>
      </c>
      <c r="O118" s="58">
        <v>3.02</v>
      </c>
      <c r="P118" s="59">
        <f t="shared" si="28"/>
        <v>9561684.9971999992</v>
      </c>
      <c r="Q118" s="58"/>
      <c r="R118" s="63"/>
      <c r="S118" s="59">
        <v>0</v>
      </c>
      <c r="T118" s="72">
        <f t="shared" si="30"/>
        <v>19928170.814879995</v>
      </c>
    </row>
    <row r="119" spans="1:20" hidden="1" x14ac:dyDescent="0.25">
      <c r="A119" s="62">
        <v>115</v>
      </c>
      <c r="B119" s="64" t="s">
        <v>220</v>
      </c>
      <c r="C119" s="60">
        <f t="shared" si="31"/>
        <v>522706.14</v>
      </c>
      <c r="D119" s="60">
        <v>88690.13</v>
      </c>
      <c r="E119" s="60">
        <f>69963.72+3625294.48+2306.65</f>
        <v>3697564.85</v>
      </c>
      <c r="F119" s="60"/>
      <c r="G119" s="60">
        <v>4308961.12</v>
      </c>
      <c r="H119" s="60">
        <v>5170753.3499999996</v>
      </c>
      <c r="I119" s="59">
        <v>19299273.504500002</v>
      </c>
      <c r="J119" s="59">
        <f t="shared" si="24"/>
        <v>23159128.205400001</v>
      </c>
      <c r="K119" s="58">
        <v>14.41</v>
      </c>
      <c r="L119" s="59">
        <f t="shared" si="26"/>
        <v>7532195.4774000002</v>
      </c>
      <c r="M119" s="58">
        <v>6.77</v>
      </c>
      <c r="N119" s="59">
        <f t="shared" si="27"/>
        <v>600432.1801</v>
      </c>
      <c r="O119" s="58">
        <v>3.02</v>
      </c>
      <c r="P119" s="59">
        <f t="shared" si="28"/>
        <v>11166645.847000001</v>
      </c>
      <c r="Q119" s="58"/>
      <c r="R119" s="63"/>
      <c r="S119" s="59">
        <v>0</v>
      </c>
      <c r="T119" s="72">
        <f t="shared" si="30"/>
        <v>23159128.205400001</v>
      </c>
    </row>
    <row r="120" spans="1:20" hidden="1" x14ac:dyDescent="0.25">
      <c r="A120" s="62">
        <v>116</v>
      </c>
      <c r="B120" s="64" t="s">
        <v>83</v>
      </c>
      <c r="C120" s="60">
        <f t="shared" si="31"/>
        <v>127700.22999999994</v>
      </c>
      <c r="D120" s="60">
        <v>32273.95</v>
      </c>
      <c r="E120" s="60">
        <f>39838.56+646241.02+1579.27</f>
        <v>687658.85000000009</v>
      </c>
      <c r="F120" s="60"/>
      <c r="G120" s="60">
        <v>847633.03</v>
      </c>
      <c r="H120" s="60">
        <f>G120*1.2</f>
        <v>1017159.6359999999</v>
      </c>
      <c r="I120" s="59">
        <v>4135384.6827999991</v>
      </c>
      <c r="J120" s="59">
        <f t="shared" si="24"/>
        <v>4962461.619359999</v>
      </c>
      <c r="K120" s="58">
        <v>14.41</v>
      </c>
      <c r="L120" s="59">
        <f t="shared" si="26"/>
        <v>1840160.314299999</v>
      </c>
      <c r="M120" s="58">
        <v>6.77</v>
      </c>
      <c r="N120" s="59">
        <f t="shared" si="27"/>
        <v>218494.6415</v>
      </c>
      <c r="O120" s="58">
        <v>3.02</v>
      </c>
      <c r="P120" s="59">
        <f t="shared" si="28"/>
        <v>2076729.7270000002</v>
      </c>
      <c r="Q120" s="58"/>
      <c r="R120" s="63"/>
      <c r="S120" s="59">
        <v>0</v>
      </c>
      <c r="T120" s="72">
        <f t="shared" si="30"/>
        <v>4962461.619359999</v>
      </c>
    </row>
    <row r="121" spans="1:20" hidden="1" x14ac:dyDescent="0.25">
      <c r="A121" s="62">
        <v>117</v>
      </c>
      <c r="B121" s="64" t="s">
        <v>221</v>
      </c>
      <c r="C121" s="60">
        <f t="shared" si="31"/>
        <v>806352.95000000065</v>
      </c>
      <c r="D121" s="60">
        <v>155857.48000000001</v>
      </c>
      <c r="E121" s="60">
        <f>109030.68+4507502.97+2306.65</f>
        <v>4618840.3</v>
      </c>
      <c r="F121" s="60"/>
      <c r="G121" s="60">
        <v>5581050.7300000004</v>
      </c>
      <c r="H121" s="60">
        <f>G121*1.2</f>
        <v>6697260.8760000002</v>
      </c>
      <c r="I121" s="59">
        <v>26623598.85510001</v>
      </c>
      <c r="J121" s="59">
        <f t="shared" si="24"/>
        <v>31948318.626120009</v>
      </c>
      <c r="K121" s="58">
        <v>14.41</v>
      </c>
      <c r="L121" s="59">
        <f t="shared" si="26"/>
        <v>11619546.00950001</v>
      </c>
      <c r="M121" s="58">
        <v>6.77</v>
      </c>
      <c r="N121" s="59">
        <f t="shared" si="27"/>
        <v>1055155.1396000001</v>
      </c>
      <c r="O121" s="58">
        <v>3.02</v>
      </c>
      <c r="P121" s="59">
        <f t="shared" si="28"/>
        <v>13948897.706</v>
      </c>
      <c r="Q121" s="58"/>
      <c r="R121" s="63"/>
      <c r="S121" s="59">
        <v>0</v>
      </c>
      <c r="T121" s="72">
        <f t="shared" si="30"/>
        <v>31948318.626120009</v>
      </c>
    </row>
    <row r="122" spans="1:20" hidden="1" x14ac:dyDescent="0.25">
      <c r="A122" s="62">
        <v>118</v>
      </c>
      <c r="B122" s="64" t="s">
        <v>222</v>
      </c>
      <c r="C122" s="60">
        <f t="shared" si="31"/>
        <v>940728.52000000072</v>
      </c>
      <c r="D122" s="60">
        <v>153141.95000000001</v>
      </c>
      <c r="E122" s="60">
        <f>109030.68+6531699.45+1579.27</f>
        <v>6642309.3999999994</v>
      </c>
      <c r="F122" s="60"/>
      <c r="G122" s="60">
        <v>7736179.8700000001</v>
      </c>
      <c r="H122" s="60">
        <f>G122*1.2</f>
        <v>9283415.8440000005</v>
      </c>
      <c r="I122" s="59">
        <v>34652443.362700008</v>
      </c>
      <c r="J122" s="59">
        <f t="shared" si="24"/>
        <v>41582932.035240009</v>
      </c>
      <c r="K122" s="58">
        <v>14.41</v>
      </c>
      <c r="L122" s="59">
        <f t="shared" si="26"/>
        <v>13555897.97320001</v>
      </c>
      <c r="M122" s="58">
        <v>6.77</v>
      </c>
      <c r="N122" s="59">
        <f t="shared" si="27"/>
        <v>1036771.0015</v>
      </c>
      <c r="O122" s="58">
        <v>3.02</v>
      </c>
      <c r="P122" s="59">
        <f t="shared" si="28"/>
        <v>20059774.388</v>
      </c>
      <c r="Q122" s="58"/>
      <c r="R122" s="63"/>
      <c r="S122" s="59">
        <v>0</v>
      </c>
      <c r="T122" s="72">
        <f t="shared" si="30"/>
        <v>41582932.035240009</v>
      </c>
    </row>
    <row r="123" spans="1:20" hidden="1" x14ac:dyDescent="0.25">
      <c r="A123" s="62">
        <v>119</v>
      </c>
      <c r="B123" s="64" t="s">
        <v>223</v>
      </c>
      <c r="C123" s="60">
        <f t="shared" si="31"/>
        <v>999363.62999999942</v>
      </c>
      <c r="D123" s="60">
        <v>154641.01999999999</v>
      </c>
      <c r="E123" s="60">
        <f>131927.44+7084978.14+2306.65</f>
        <v>7219212.2300000004</v>
      </c>
      <c r="F123" s="60"/>
      <c r="G123" s="60">
        <v>8373216.8799999999</v>
      </c>
      <c r="H123" s="60">
        <v>10047860.25</v>
      </c>
      <c r="I123" s="59">
        <v>37249770.548299998</v>
      </c>
      <c r="J123" s="59">
        <f t="shared" si="24"/>
        <v>44699724.657959998</v>
      </c>
      <c r="K123" s="58">
        <v>14.41</v>
      </c>
      <c r="L123" s="59">
        <f t="shared" si="26"/>
        <v>14400829.908299992</v>
      </c>
      <c r="M123" s="58">
        <v>6.77</v>
      </c>
      <c r="N123" s="59">
        <f t="shared" si="27"/>
        <v>1046919.7053999999</v>
      </c>
      <c r="O123" s="58">
        <v>3.02</v>
      </c>
      <c r="P123" s="59">
        <f t="shared" si="28"/>
        <v>21802020.934600003</v>
      </c>
      <c r="Q123" s="58"/>
      <c r="R123" s="63"/>
      <c r="S123" s="59">
        <v>0</v>
      </c>
      <c r="T123" s="72">
        <f t="shared" si="30"/>
        <v>44699724.657959998</v>
      </c>
    </row>
    <row r="124" spans="1:20" x14ac:dyDescent="0.25">
      <c r="A124" s="62">
        <v>120</v>
      </c>
      <c r="B124" s="64" t="s">
        <v>224</v>
      </c>
      <c r="C124" s="60">
        <f t="shared" si="31"/>
        <v>179585.37000000008</v>
      </c>
      <c r="D124" s="60">
        <v>173282.48</v>
      </c>
      <c r="E124" s="60">
        <v>735124.2</v>
      </c>
      <c r="F124" s="60"/>
      <c r="G124" s="60">
        <v>1087992.05</v>
      </c>
      <c r="H124" s="60">
        <f t="shared" ref="H124:H131" si="33">G124*1.2</f>
        <v>1305590.46</v>
      </c>
      <c r="I124" s="59">
        <v>5981022.6553000007</v>
      </c>
      <c r="J124" s="59">
        <f t="shared" si="24"/>
        <v>7177227.1863600006</v>
      </c>
      <c r="K124" s="58">
        <v>14.41</v>
      </c>
      <c r="L124" s="59">
        <f t="shared" si="26"/>
        <v>2587825.181700001</v>
      </c>
      <c r="M124" s="58">
        <v>6.77</v>
      </c>
      <c r="N124" s="59">
        <f t="shared" si="27"/>
        <v>1173122.3896000001</v>
      </c>
      <c r="O124" s="58">
        <v>3.02</v>
      </c>
      <c r="P124" s="59">
        <f t="shared" si="28"/>
        <v>2220075.0839999998</v>
      </c>
      <c r="Q124" s="58"/>
      <c r="R124" s="63"/>
      <c r="S124" s="59">
        <v>0</v>
      </c>
      <c r="T124" s="72">
        <f t="shared" si="30"/>
        <v>7177227.1863600006</v>
      </c>
    </row>
    <row r="125" spans="1:20" x14ac:dyDescent="0.25">
      <c r="A125" s="62">
        <v>121</v>
      </c>
      <c r="B125" s="64" t="s">
        <v>225</v>
      </c>
      <c r="C125" s="60">
        <f t="shared" si="31"/>
        <v>272399.88999999996</v>
      </c>
      <c r="D125" s="60">
        <v>328144.31</v>
      </c>
      <c r="E125" s="60">
        <v>784737</v>
      </c>
      <c r="F125" s="60"/>
      <c r="G125" s="60">
        <v>1385281.2</v>
      </c>
      <c r="H125" s="60">
        <f t="shared" si="33"/>
        <v>1662337.44</v>
      </c>
      <c r="I125" s="59">
        <v>8516725.1336000003</v>
      </c>
      <c r="J125" s="59">
        <f t="shared" si="24"/>
        <v>10220070.160320001</v>
      </c>
      <c r="K125" s="58">
        <v>14.41</v>
      </c>
      <c r="L125" s="59">
        <f t="shared" si="26"/>
        <v>3925282.4148999993</v>
      </c>
      <c r="M125" s="58">
        <v>6.77</v>
      </c>
      <c r="N125" s="59">
        <f t="shared" si="27"/>
        <v>2221536.9786999999</v>
      </c>
      <c r="O125" s="58">
        <v>3.02</v>
      </c>
      <c r="P125" s="59">
        <f t="shared" si="28"/>
        <v>2369905.7400000002</v>
      </c>
      <c r="Q125" s="58"/>
      <c r="R125" s="63"/>
      <c r="S125" s="59">
        <v>0</v>
      </c>
      <c r="T125" s="72">
        <f t="shared" si="30"/>
        <v>10220070.160320001</v>
      </c>
    </row>
    <row r="126" spans="1:20" x14ac:dyDescent="0.25">
      <c r="A126" s="62">
        <v>122</v>
      </c>
      <c r="B126" s="64" t="s">
        <v>226</v>
      </c>
      <c r="C126" s="60">
        <f t="shared" si="31"/>
        <v>223951.79000000004</v>
      </c>
      <c r="D126" s="60">
        <v>326989.46999999997</v>
      </c>
      <c r="E126" s="60">
        <v>364303.2</v>
      </c>
      <c r="F126" s="60"/>
      <c r="G126" s="60">
        <v>915244.46</v>
      </c>
      <c r="H126" s="60">
        <f t="shared" si="33"/>
        <v>1098293.352</v>
      </c>
      <c r="I126" s="59">
        <v>6541059.6697999993</v>
      </c>
      <c r="J126" s="59">
        <f t="shared" si="24"/>
        <v>7849271.6037599985</v>
      </c>
      <c r="K126" s="58">
        <v>14.41</v>
      </c>
      <c r="L126" s="59">
        <f t="shared" si="26"/>
        <v>3227145.2939000004</v>
      </c>
      <c r="M126" s="58">
        <v>6.77</v>
      </c>
      <c r="N126" s="59">
        <f t="shared" si="27"/>
        <v>2213718.7118999995</v>
      </c>
      <c r="O126" s="58">
        <v>3.02</v>
      </c>
      <c r="P126" s="59">
        <f t="shared" si="28"/>
        <v>1100195.6640000001</v>
      </c>
      <c r="Q126" s="58"/>
      <c r="R126" s="63"/>
      <c r="S126" s="59">
        <v>0</v>
      </c>
      <c r="T126" s="72">
        <f t="shared" si="30"/>
        <v>7849271.6037599985</v>
      </c>
    </row>
    <row r="127" spans="1:20" x14ac:dyDescent="0.25">
      <c r="A127" s="62">
        <v>123</v>
      </c>
      <c r="B127" s="64" t="s">
        <v>227</v>
      </c>
      <c r="C127" s="60">
        <f t="shared" si="31"/>
        <v>254501.98000000004</v>
      </c>
      <c r="D127" s="60">
        <v>328144.31</v>
      </c>
      <c r="E127" s="60">
        <v>555043.19999999995</v>
      </c>
      <c r="F127" s="60"/>
      <c r="G127" s="60">
        <v>1137689.49</v>
      </c>
      <c r="H127" s="60">
        <f t="shared" si="33"/>
        <v>1365227.388</v>
      </c>
      <c r="I127" s="59">
        <v>7565140.9745000005</v>
      </c>
      <c r="J127" s="59">
        <f t="shared" si="24"/>
        <v>9078169.1694000009</v>
      </c>
      <c r="K127" s="58">
        <v>14.41</v>
      </c>
      <c r="L127" s="59">
        <f t="shared" si="26"/>
        <v>3667373.5318000005</v>
      </c>
      <c r="M127" s="58">
        <v>6.77</v>
      </c>
      <c r="N127" s="59">
        <f t="shared" si="27"/>
        <v>2221536.9786999999</v>
      </c>
      <c r="O127" s="58">
        <v>3.02</v>
      </c>
      <c r="P127" s="59">
        <f t="shared" si="28"/>
        <v>1676230.4639999999</v>
      </c>
      <c r="Q127" s="58"/>
      <c r="R127" s="63"/>
      <c r="S127" s="59">
        <v>0</v>
      </c>
      <c r="T127" s="72">
        <f t="shared" si="30"/>
        <v>9078169.1694000009</v>
      </c>
    </row>
    <row r="128" spans="1:20" x14ac:dyDescent="0.25">
      <c r="A128" s="62">
        <v>124</v>
      </c>
      <c r="B128" s="64" t="s">
        <v>228</v>
      </c>
      <c r="C128" s="60">
        <f t="shared" si="31"/>
        <v>441459.78000000044</v>
      </c>
      <c r="D128" s="60">
        <v>330048.40999999997</v>
      </c>
      <c r="E128" s="60">
        <f>1668250.8+1002970</f>
        <v>2671220.7999999998</v>
      </c>
      <c r="F128" s="60"/>
      <c r="G128" s="60">
        <v>3442728.99</v>
      </c>
      <c r="H128" s="60">
        <f t="shared" si="33"/>
        <v>4131274.7880000002</v>
      </c>
      <c r="I128" s="59">
        <v>16662949.981500005</v>
      </c>
      <c r="J128" s="59">
        <f t="shared" si="24"/>
        <v>19995539.977800004</v>
      </c>
      <c r="K128" s="58">
        <v>14.41</v>
      </c>
      <c r="L128" s="59">
        <f t="shared" si="26"/>
        <v>6361435.4298000066</v>
      </c>
      <c r="M128" s="58">
        <v>6.77</v>
      </c>
      <c r="N128" s="59">
        <f t="shared" si="27"/>
        <v>2234427.7356999996</v>
      </c>
      <c r="O128" s="58">
        <v>3.02</v>
      </c>
      <c r="P128" s="59">
        <f t="shared" si="28"/>
        <v>8067086.8159999996</v>
      </c>
      <c r="Q128" s="58"/>
      <c r="R128" s="63"/>
      <c r="S128" s="59">
        <v>0</v>
      </c>
      <c r="T128" s="72">
        <f t="shared" si="30"/>
        <v>19995539.977800004</v>
      </c>
    </row>
    <row r="129" spans="1:20" x14ac:dyDescent="0.25">
      <c r="A129" s="62">
        <v>125</v>
      </c>
      <c r="B129" s="64" t="s">
        <v>229</v>
      </c>
      <c r="C129" s="60">
        <f t="shared" si="31"/>
        <v>222341.7099999999</v>
      </c>
      <c r="D129" s="60">
        <v>326982.71000000002</v>
      </c>
      <c r="E129" s="60">
        <v>348778.8</v>
      </c>
      <c r="F129" s="60"/>
      <c r="G129" s="60">
        <v>898103.22</v>
      </c>
      <c r="H129" s="60">
        <f t="shared" si="33"/>
        <v>1077723.8639999998</v>
      </c>
      <c r="I129" s="59">
        <v>6470928.9637999982</v>
      </c>
      <c r="J129" s="59">
        <f t="shared" si="24"/>
        <v>7765114.7565599978</v>
      </c>
      <c r="K129" s="58">
        <v>14.41</v>
      </c>
      <c r="L129" s="59">
        <f t="shared" si="26"/>
        <v>3203944.0410999986</v>
      </c>
      <c r="M129" s="58">
        <v>6.77</v>
      </c>
      <c r="N129" s="59">
        <f t="shared" si="27"/>
        <v>2213672.9467000002</v>
      </c>
      <c r="O129" s="58">
        <v>3.02</v>
      </c>
      <c r="P129" s="59">
        <f t="shared" si="28"/>
        <v>1053311.976</v>
      </c>
      <c r="Q129" s="58"/>
      <c r="R129" s="63"/>
      <c r="S129" s="59">
        <v>0</v>
      </c>
      <c r="T129" s="72">
        <f t="shared" si="30"/>
        <v>7765114.7565599978</v>
      </c>
    </row>
    <row r="130" spans="1:20" x14ac:dyDescent="0.25">
      <c r="A130" s="62">
        <v>126</v>
      </c>
      <c r="B130" s="64" t="s">
        <v>230</v>
      </c>
      <c r="C130" s="60">
        <f t="shared" si="31"/>
        <v>412262.83000000025</v>
      </c>
      <c r="D130" s="60">
        <v>484115.95</v>
      </c>
      <c r="E130" s="60">
        <v>1286233.6499999999</v>
      </c>
      <c r="F130" s="60"/>
      <c r="G130" s="60">
        <v>2182612.4300000002</v>
      </c>
      <c r="H130" s="60">
        <f t="shared" si="33"/>
        <v>2619134.9160000002</v>
      </c>
      <c r="I130" s="59">
        <v>13102597.984800003</v>
      </c>
      <c r="J130" s="59">
        <f t="shared" si="24"/>
        <v>15723117.581760004</v>
      </c>
      <c r="K130" s="58">
        <v>14.41</v>
      </c>
      <c r="L130" s="59">
        <f t="shared" si="26"/>
        <v>5940707.380300004</v>
      </c>
      <c r="M130" s="58">
        <v>6.77</v>
      </c>
      <c r="N130" s="59">
        <f t="shared" si="27"/>
        <v>3277464.9814999998</v>
      </c>
      <c r="O130" s="58">
        <v>3.02</v>
      </c>
      <c r="P130" s="59">
        <f t="shared" si="28"/>
        <v>3884425.6229999997</v>
      </c>
      <c r="Q130" s="58"/>
      <c r="R130" s="63"/>
      <c r="S130" s="59">
        <v>0</v>
      </c>
      <c r="T130" s="72">
        <f t="shared" si="30"/>
        <v>15723117.581760004</v>
      </c>
    </row>
    <row r="131" spans="1:20" x14ac:dyDescent="0.25">
      <c r="A131" s="62">
        <v>127</v>
      </c>
      <c r="B131" s="64" t="s">
        <v>231</v>
      </c>
      <c r="C131" s="60">
        <f t="shared" si="31"/>
        <v>427486.11</v>
      </c>
      <c r="D131" s="60">
        <v>484395.35</v>
      </c>
      <c r="E131" s="60">
        <v>1395084.6</v>
      </c>
      <c r="F131" s="60"/>
      <c r="G131" s="60">
        <v>2306966.06</v>
      </c>
      <c r="H131" s="60">
        <f t="shared" si="33"/>
        <v>2768359.2719999999</v>
      </c>
      <c r="I131" s="59">
        <v>13652586.8566</v>
      </c>
      <c r="J131" s="59">
        <f t="shared" si="24"/>
        <v>16383104.22792</v>
      </c>
      <c r="K131" s="58">
        <v>14.41</v>
      </c>
      <c r="L131" s="59">
        <f t="shared" si="26"/>
        <v>6160074.8450999996</v>
      </c>
      <c r="M131" s="58">
        <v>6.77</v>
      </c>
      <c r="N131" s="59">
        <f t="shared" si="27"/>
        <v>3279356.5194999995</v>
      </c>
      <c r="O131" s="58">
        <v>3.02</v>
      </c>
      <c r="P131" s="59">
        <f t="shared" si="28"/>
        <v>4213155.4920000006</v>
      </c>
      <c r="Q131" s="58"/>
      <c r="R131" s="63"/>
      <c r="S131" s="59">
        <v>0</v>
      </c>
      <c r="T131" s="72">
        <f t="shared" si="30"/>
        <v>16383104.22792</v>
      </c>
    </row>
    <row r="132" spans="1:20" x14ac:dyDescent="0.25">
      <c r="A132" s="62">
        <v>128</v>
      </c>
      <c r="B132" s="64" t="s">
        <v>232</v>
      </c>
      <c r="C132" s="60">
        <f t="shared" si="31"/>
        <v>454445.74000000017</v>
      </c>
      <c r="D132" s="60">
        <v>484899.95</v>
      </c>
      <c r="E132" s="60">
        <v>1644637.8</v>
      </c>
      <c r="F132" s="60"/>
      <c r="G132" s="60">
        <v>2583983.4900000002</v>
      </c>
      <c r="H132" s="60">
        <v>3100780.18</v>
      </c>
      <c r="I132" s="59">
        <v>14798141.930900004</v>
      </c>
      <c r="J132" s="59">
        <f t="shared" si="24"/>
        <v>17757770.317080002</v>
      </c>
      <c r="K132" s="58">
        <v>14.41</v>
      </c>
      <c r="L132" s="59">
        <f t="shared" si="26"/>
        <v>6548563.113400002</v>
      </c>
      <c r="M132" s="58">
        <v>6.77</v>
      </c>
      <c r="N132" s="59">
        <f t="shared" si="27"/>
        <v>3282772.6614999999</v>
      </c>
      <c r="O132" s="58">
        <v>3.02</v>
      </c>
      <c r="P132" s="59">
        <f t="shared" si="28"/>
        <v>4966806.1560000004</v>
      </c>
      <c r="Q132" s="58"/>
      <c r="R132" s="63"/>
      <c r="S132" s="59">
        <v>0</v>
      </c>
      <c r="T132" s="72">
        <f t="shared" si="30"/>
        <v>17757770.317080002</v>
      </c>
    </row>
    <row r="133" spans="1:20" x14ac:dyDescent="0.25">
      <c r="A133" s="62">
        <v>129</v>
      </c>
      <c r="B133" s="64" t="s">
        <v>233</v>
      </c>
      <c r="C133" s="60">
        <f t="shared" si="31"/>
        <v>556859.60000000021</v>
      </c>
      <c r="D133" s="60">
        <v>486783.35</v>
      </c>
      <c r="E133" s="60">
        <v>2671615.0099999998</v>
      </c>
      <c r="F133" s="60"/>
      <c r="G133" s="60">
        <v>3715257.96</v>
      </c>
      <c r="H133" s="60">
        <f>G133*1.2</f>
        <v>4458309.5520000001</v>
      </c>
      <c r="I133" s="59">
        <v>19388147.445700005</v>
      </c>
      <c r="J133" s="59">
        <f t="shared" ref="J133:J196" si="34">T133-S133</f>
        <v>23265776.934840005</v>
      </c>
      <c r="K133" s="58">
        <v>14.41</v>
      </c>
      <c r="L133" s="59">
        <f t="shared" si="26"/>
        <v>8024346.8360000029</v>
      </c>
      <c r="M133" s="58">
        <v>6.77</v>
      </c>
      <c r="N133" s="59">
        <f t="shared" si="27"/>
        <v>3295523.2794999997</v>
      </c>
      <c r="O133" s="58">
        <v>3.02</v>
      </c>
      <c r="P133" s="59">
        <f t="shared" si="28"/>
        <v>8068277.3301999997</v>
      </c>
      <c r="Q133" s="58"/>
      <c r="R133" s="63"/>
      <c r="S133" s="59">
        <v>0</v>
      </c>
      <c r="T133" s="72">
        <f t="shared" si="30"/>
        <v>23265776.934840005</v>
      </c>
    </row>
    <row r="134" spans="1:20" x14ac:dyDescent="0.25">
      <c r="A134" s="62">
        <v>130</v>
      </c>
      <c r="B134" s="64" t="s">
        <v>234</v>
      </c>
      <c r="C134" s="60">
        <f t="shared" si="31"/>
        <v>872656.12000000058</v>
      </c>
      <c r="D134" s="60">
        <v>643335.31000000006</v>
      </c>
      <c r="E134" s="60">
        <f>3336501.6+2005940</f>
        <v>5342441.5999999996</v>
      </c>
      <c r="F134" s="60"/>
      <c r="G134" s="60">
        <v>6858433.0300000003</v>
      </c>
      <c r="H134" s="60">
        <f>G134*1.2</f>
        <v>8230119.6359999999</v>
      </c>
      <c r="I134" s="59">
        <v>33064528.369900007</v>
      </c>
      <c r="J134" s="59">
        <f t="shared" si="34"/>
        <v>39677434.043880008</v>
      </c>
      <c r="K134" s="58">
        <v>14.41</v>
      </c>
      <c r="L134" s="59">
        <f t="shared" ref="L134:L197" si="35">C134*K134</f>
        <v>12574974.689200008</v>
      </c>
      <c r="M134" s="58">
        <v>6.77</v>
      </c>
      <c r="N134" s="59">
        <f t="shared" ref="N134:N197" si="36">D134*M134</f>
        <v>4355380.0487000002</v>
      </c>
      <c r="O134" s="58">
        <v>3.02</v>
      </c>
      <c r="P134" s="59">
        <f t="shared" ref="P134:P197" si="37">E134*O134</f>
        <v>16134173.631999999</v>
      </c>
      <c r="Q134" s="58"/>
      <c r="R134" s="63"/>
      <c r="S134" s="59">
        <v>0</v>
      </c>
      <c r="T134" s="72">
        <f t="shared" si="30"/>
        <v>39677434.043880008</v>
      </c>
    </row>
    <row r="135" spans="1:20" x14ac:dyDescent="0.25">
      <c r="A135" s="62">
        <v>131</v>
      </c>
      <c r="B135" s="64" t="s">
        <v>235</v>
      </c>
      <c r="C135" s="60">
        <f t="shared" si="31"/>
        <v>740354.82000000007</v>
      </c>
      <c r="D135" s="60">
        <v>488203.55</v>
      </c>
      <c r="E135" s="60">
        <f>1504455+3336501.6</f>
        <v>4840956.5999999996</v>
      </c>
      <c r="F135" s="60"/>
      <c r="G135" s="60">
        <v>6069514.9699999997</v>
      </c>
      <c r="H135" s="60">
        <v>7283417.9699999997</v>
      </c>
      <c r="I135" s="59">
        <v>28593339.921700001</v>
      </c>
      <c r="J135" s="59">
        <f t="shared" si="34"/>
        <v>34312007.906039998</v>
      </c>
      <c r="K135" s="58">
        <v>14.41</v>
      </c>
      <c r="L135" s="59">
        <f t="shared" si="35"/>
        <v>10668512.956200002</v>
      </c>
      <c r="M135" s="58">
        <v>6.77</v>
      </c>
      <c r="N135" s="59">
        <f t="shared" si="36"/>
        <v>3305138.0334999999</v>
      </c>
      <c r="O135" s="58">
        <v>3.02</v>
      </c>
      <c r="P135" s="59">
        <f t="shared" si="37"/>
        <v>14619688.931999998</v>
      </c>
      <c r="Q135" s="58"/>
      <c r="R135" s="63"/>
      <c r="S135" s="59">
        <v>0</v>
      </c>
      <c r="T135" s="72">
        <f t="shared" si="30"/>
        <v>34312007.906039998</v>
      </c>
    </row>
    <row r="136" spans="1:20" x14ac:dyDescent="0.25">
      <c r="A136" s="62">
        <v>132</v>
      </c>
      <c r="B136" s="64" t="s">
        <v>236</v>
      </c>
      <c r="C136" s="60">
        <f t="shared" si="31"/>
        <v>282122.59000000003</v>
      </c>
      <c r="D136" s="60">
        <v>328144.31</v>
      </c>
      <c r="E136" s="60">
        <v>909513.6</v>
      </c>
      <c r="F136" s="60"/>
      <c r="G136" s="60">
        <v>1519780.5</v>
      </c>
      <c r="H136" s="60">
        <f>G136*1.2</f>
        <v>1823736.5999999999</v>
      </c>
      <c r="I136" s="59">
        <v>9033654.5726000015</v>
      </c>
      <c r="J136" s="59">
        <f t="shared" si="34"/>
        <v>10840385.487120001</v>
      </c>
      <c r="K136" s="58">
        <v>14.41</v>
      </c>
      <c r="L136" s="59">
        <f t="shared" si="35"/>
        <v>4065386.5219000005</v>
      </c>
      <c r="M136" s="58">
        <v>6.77</v>
      </c>
      <c r="N136" s="59">
        <f t="shared" si="36"/>
        <v>2221536.9786999999</v>
      </c>
      <c r="O136" s="58">
        <v>3.02</v>
      </c>
      <c r="P136" s="59">
        <f t="shared" si="37"/>
        <v>2746731.0720000002</v>
      </c>
      <c r="Q136" s="58"/>
      <c r="R136" s="63"/>
      <c r="S136" s="59">
        <v>0</v>
      </c>
      <c r="T136" s="72">
        <f t="shared" si="30"/>
        <v>10840385.487120001</v>
      </c>
    </row>
    <row r="137" spans="1:20" x14ac:dyDescent="0.25">
      <c r="A137" s="62">
        <v>133</v>
      </c>
      <c r="B137" s="64" t="s">
        <v>237</v>
      </c>
      <c r="C137" s="60">
        <f t="shared" si="31"/>
        <v>513354.86</v>
      </c>
      <c r="D137" s="60">
        <v>486783.35</v>
      </c>
      <c r="E137" s="60">
        <v>2113294.75</v>
      </c>
      <c r="F137" s="60"/>
      <c r="G137" s="60">
        <v>3113432.96</v>
      </c>
      <c r="H137" s="60">
        <f>G137*1.2</f>
        <v>3736119.5519999997</v>
      </c>
      <c r="I137" s="59">
        <v>17075116.9571</v>
      </c>
      <c r="J137" s="59">
        <f t="shared" si="34"/>
        <v>20490140.34852</v>
      </c>
      <c r="K137" s="58">
        <v>14.41</v>
      </c>
      <c r="L137" s="59">
        <f t="shared" si="35"/>
        <v>7397443.5325999996</v>
      </c>
      <c r="M137" s="58">
        <v>6.77</v>
      </c>
      <c r="N137" s="59">
        <f t="shared" si="36"/>
        <v>3295523.2794999997</v>
      </c>
      <c r="O137" s="58">
        <v>3.02</v>
      </c>
      <c r="P137" s="59">
        <f t="shared" si="37"/>
        <v>6382150.1450000005</v>
      </c>
      <c r="Q137" s="58"/>
      <c r="R137" s="63"/>
      <c r="S137" s="59">
        <v>0</v>
      </c>
      <c r="T137" s="72">
        <f t="shared" si="30"/>
        <v>20490140.34852</v>
      </c>
    </row>
    <row r="138" spans="1:20" hidden="1" x14ac:dyDescent="0.25">
      <c r="A138" s="62">
        <v>134</v>
      </c>
      <c r="B138" s="64" t="s">
        <v>238</v>
      </c>
      <c r="C138" s="60">
        <f t="shared" si="31"/>
        <v>104499.89000000004</v>
      </c>
      <c r="D138" s="60">
        <v>25491.35</v>
      </c>
      <c r="E138" s="60">
        <f>39839+457686.94+1579</f>
        <v>499104.94</v>
      </c>
      <c r="F138" s="60"/>
      <c r="G138" s="60">
        <v>629096.18000000005</v>
      </c>
      <c r="H138" s="60">
        <v>754915.41</v>
      </c>
      <c r="I138" s="59">
        <v>3185716.7732000006</v>
      </c>
      <c r="J138" s="59">
        <f t="shared" si="34"/>
        <v>3822860.1278400007</v>
      </c>
      <c r="K138" s="58">
        <v>14.41</v>
      </c>
      <c r="L138" s="59">
        <f t="shared" si="35"/>
        <v>1505843.4149000007</v>
      </c>
      <c r="M138" s="58">
        <v>6.77</v>
      </c>
      <c r="N138" s="59">
        <f t="shared" si="36"/>
        <v>172576.43949999998</v>
      </c>
      <c r="O138" s="58">
        <v>3.02</v>
      </c>
      <c r="P138" s="59">
        <f t="shared" si="37"/>
        <v>1507296.9188000001</v>
      </c>
      <c r="Q138" s="58"/>
      <c r="R138" s="63"/>
      <c r="S138" s="59">
        <v>0</v>
      </c>
      <c r="T138" s="72">
        <f t="shared" si="30"/>
        <v>3822860.1278400007</v>
      </c>
    </row>
    <row r="139" spans="1:20" hidden="1" x14ac:dyDescent="0.25">
      <c r="A139" s="62">
        <v>135</v>
      </c>
      <c r="B139" s="64" t="s">
        <v>239</v>
      </c>
      <c r="C139" s="60">
        <f t="shared" si="31"/>
        <v>127829.97999999995</v>
      </c>
      <c r="D139" s="60">
        <v>32197.09</v>
      </c>
      <c r="E139" s="60">
        <f>19161.28+431450.82+2306.65</f>
        <v>452918.75</v>
      </c>
      <c r="F139" s="60"/>
      <c r="G139" s="60">
        <v>612945.81999999995</v>
      </c>
      <c r="H139" s="60">
        <f t="shared" ref="H139:H145" si="38">G139*1.2</f>
        <v>735534.98399999994</v>
      </c>
      <c r="I139" s="59">
        <v>3427818.9360999996</v>
      </c>
      <c r="J139" s="59">
        <f t="shared" si="34"/>
        <v>4113382.7233199994</v>
      </c>
      <c r="K139" s="58">
        <v>14.41</v>
      </c>
      <c r="L139" s="59">
        <f t="shared" si="35"/>
        <v>1842030.0117999993</v>
      </c>
      <c r="M139" s="58">
        <v>6.77</v>
      </c>
      <c r="N139" s="59">
        <f t="shared" si="36"/>
        <v>217974.29929999998</v>
      </c>
      <c r="O139" s="58">
        <v>3.02</v>
      </c>
      <c r="P139" s="59">
        <f t="shared" si="37"/>
        <v>1367814.625</v>
      </c>
      <c r="Q139" s="58"/>
      <c r="R139" s="63"/>
      <c r="S139" s="59">
        <v>0</v>
      </c>
      <c r="T139" s="72">
        <f t="shared" si="30"/>
        <v>4113382.7233199994</v>
      </c>
    </row>
    <row r="140" spans="1:20" hidden="1" x14ac:dyDescent="0.25">
      <c r="A140" s="62">
        <v>136</v>
      </c>
      <c r="B140" s="64" t="s">
        <v>240</v>
      </c>
      <c r="C140" s="60">
        <f t="shared" si="31"/>
        <v>147514.65999999997</v>
      </c>
      <c r="D140" s="60">
        <v>32443.8</v>
      </c>
      <c r="E140" s="60">
        <f>54515.34+663617.81+2306.65</f>
        <v>720439.8</v>
      </c>
      <c r="F140" s="60"/>
      <c r="G140" s="60">
        <v>900398.26</v>
      </c>
      <c r="H140" s="60">
        <f t="shared" si="38"/>
        <v>1080477.912</v>
      </c>
      <c r="I140" s="59">
        <v>4521058.9726</v>
      </c>
      <c r="J140" s="59">
        <f t="shared" si="34"/>
        <v>5425270.76712</v>
      </c>
      <c r="K140" s="58">
        <v>14.41</v>
      </c>
      <c r="L140" s="59">
        <f t="shared" si="35"/>
        <v>2125686.2505999994</v>
      </c>
      <c r="M140" s="58">
        <v>6.77</v>
      </c>
      <c r="N140" s="59">
        <f t="shared" si="36"/>
        <v>219644.52599999998</v>
      </c>
      <c r="O140" s="58">
        <v>3.02</v>
      </c>
      <c r="P140" s="59">
        <f t="shared" si="37"/>
        <v>2175728.196</v>
      </c>
      <c r="Q140" s="58"/>
      <c r="R140" s="63"/>
      <c r="S140" s="59">
        <v>0</v>
      </c>
      <c r="T140" s="72">
        <f t="shared" si="30"/>
        <v>5425270.76712</v>
      </c>
    </row>
    <row r="141" spans="1:20" hidden="1" x14ac:dyDescent="0.25">
      <c r="A141" s="62">
        <v>137</v>
      </c>
      <c r="B141" s="64" t="s">
        <v>241</v>
      </c>
      <c r="C141" s="60">
        <f t="shared" si="31"/>
        <v>107632.59</v>
      </c>
      <c r="D141" s="60">
        <v>25677.21</v>
      </c>
      <c r="E141" s="60">
        <f>10485+330179.64+1579.27</f>
        <v>342243.91000000003</v>
      </c>
      <c r="F141" s="60"/>
      <c r="G141" s="60">
        <v>475553.71</v>
      </c>
      <c r="H141" s="60">
        <f t="shared" si="38"/>
        <v>570664.45200000005</v>
      </c>
      <c r="I141" s="59">
        <v>2758396.9418000001</v>
      </c>
      <c r="J141" s="59">
        <f t="shared" si="34"/>
        <v>3310076.3301599999</v>
      </c>
      <c r="K141" s="58">
        <v>14.41</v>
      </c>
      <c r="L141" s="59">
        <f t="shared" si="35"/>
        <v>1550985.6218999999</v>
      </c>
      <c r="M141" s="58">
        <v>6.77</v>
      </c>
      <c r="N141" s="59">
        <f t="shared" si="36"/>
        <v>173834.71169999999</v>
      </c>
      <c r="O141" s="58">
        <v>3.02</v>
      </c>
      <c r="P141" s="59">
        <f t="shared" si="37"/>
        <v>1033576.6082000001</v>
      </c>
      <c r="Q141" s="58"/>
      <c r="R141" s="63"/>
      <c r="S141" s="59">
        <v>0</v>
      </c>
      <c r="T141" s="72">
        <f t="shared" si="30"/>
        <v>3310076.3301599999</v>
      </c>
    </row>
    <row r="142" spans="1:20" hidden="1" x14ac:dyDescent="0.25">
      <c r="A142" s="62">
        <v>138</v>
      </c>
      <c r="B142" s="64" t="s">
        <v>242</v>
      </c>
      <c r="C142" s="60">
        <f t="shared" si="31"/>
        <v>112807.85999999996</v>
      </c>
      <c r="D142" s="60">
        <v>35663.480000000003</v>
      </c>
      <c r="E142" s="60">
        <f>10485+137590.48+2306.65</f>
        <v>150382.13</v>
      </c>
      <c r="F142" s="60"/>
      <c r="G142" s="60">
        <v>298853.46999999997</v>
      </c>
      <c r="H142" s="60">
        <f t="shared" si="38"/>
        <v>358624.16399999993</v>
      </c>
      <c r="I142" s="59">
        <v>2321157.0547999991</v>
      </c>
      <c r="J142" s="59">
        <f t="shared" si="34"/>
        <v>2785388.4657599987</v>
      </c>
      <c r="K142" s="58">
        <v>14.41</v>
      </c>
      <c r="L142" s="59">
        <f t="shared" si="35"/>
        <v>1625561.2625999993</v>
      </c>
      <c r="M142" s="58">
        <v>6.77</v>
      </c>
      <c r="N142" s="59">
        <f t="shared" si="36"/>
        <v>241441.75960000002</v>
      </c>
      <c r="O142" s="58">
        <v>3.02</v>
      </c>
      <c r="P142" s="59">
        <f t="shared" si="37"/>
        <v>454154.03260000004</v>
      </c>
      <c r="Q142" s="58"/>
      <c r="R142" s="63"/>
      <c r="S142" s="59">
        <v>0</v>
      </c>
      <c r="T142" s="72">
        <f t="shared" si="30"/>
        <v>2785388.4657599987</v>
      </c>
    </row>
    <row r="143" spans="1:20" hidden="1" x14ac:dyDescent="0.25">
      <c r="A143" s="62">
        <v>139</v>
      </c>
      <c r="B143" s="64" t="s">
        <v>243</v>
      </c>
      <c r="C143" s="60">
        <f t="shared" si="31"/>
        <v>114111.79000000001</v>
      </c>
      <c r="D143" s="60">
        <v>34895.68</v>
      </c>
      <c r="E143" s="60">
        <f>10485+169552.38+2306.65</f>
        <v>182344.03</v>
      </c>
      <c r="F143" s="60"/>
      <c r="G143" s="60">
        <v>331351.5</v>
      </c>
      <c r="H143" s="60">
        <f t="shared" si="38"/>
        <v>397621.8</v>
      </c>
      <c r="I143" s="59">
        <v>2431273.6181000001</v>
      </c>
      <c r="J143" s="59">
        <f t="shared" si="34"/>
        <v>2917528.3417199999</v>
      </c>
      <c r="K143" s="58">
        <v>14.41</v>
      </c>
      <c r="L143" s="59">
        <f t="shared" si="35"/>
        <v>1644350.8939</v>
      </c>
      <c r="M143" s="58">
        <v>6.77</v>
      </c>
      <c r="N143" s="59">
        <f t="shared" si="36"/>
        <v>236243.7536</v>
      </c>
      <c r="O143" s="58">
        <v>3.02</v>
      </c>
      <c r="P143" s="59">
        <f t="shared" si="37"/>
        <v>550678.9706</v>
      </c>
      <c r="Q143" s="58"/>
      <c r="R143" s="63"/>
      <c r="S143" s="59">
        <v>0</v>
      </c>
      <c r="T143" s="72">
        <f t="shared" si="30"/>
        <v>2917528.3417199999</v>
      </c>
    </row>
    <row r="144" spans="1:20" hidden="1" x14ac:dyDescent="0.25">
      <c r="A144" s="62">
        <v>140</v>
      </c>
      <c r="B144" s="64" t="s">
        <v>244</v>
      </c>
      <c r="C144" s="60">
        <f t="shared" si="31"/>
        <v>118433.98999999999</v>
      </c>
      <c r="D144" s="60">
        <v>35295.18</v>
      </c>
      <c r="E144" s="60">
        <f>10485+220354.1+2306.65</f>
        <v>233145.75</v>
      </c>
      <c r="F144" s="60"/>
      <c r="G144" s="60">
        <v>386874.92</v>
      </c>
      <c r="H144" s="60">
        <f t="shared" si="38"/>
        <v>464249.90399999998</v>
      </c>
      <c r="I144" s="59">
        <v>2649682.3295</v>
      </c>
      <c r="J144" s="59">
        <f t="shared" si="34"/>
        <v>3179618.7953999997</v>
      </c>
      <c r="K144" s="58">
        <v>14.41</v>
      </c>
      <c r="L144" s="59">
        <f t="shared" si="35"/>
        <v>1706633.7958999998</v>
      </c>
      <c r="M144" s="58">
        <v>6.77</v>
      </c>
      <c r="N144" s="59">
        <f t="shared" si="36"/>
        <v>238948.36859999999</v>
      </c>
      <c r="O144" s="58">
        <v>3.02</v>
      </c>
      <c r="P144" s="59">
        <f t="shared" si="37"/>
        <v>704100.16500000004</v>
      </c>
      <c r="Q144" s="58"/>
      <c r="R144" s="63"/>
      <c r="S144" s="59">
        <v>0</v>
      </c>
      <c r="T144" s="72">
        <f t="shared" si="30"/>
        <v>3179618.7953999997</v>
      </c>
    </row>
    <row r="145" spans="1:20" hidden="1" x14ac:dyDescent="0.25">
      <c r="A145" s="62">
        <v>141</v>
      </c>
      <c r="B145" s="64" t="s">
        <v>245</v>
      </c>
      <c r="C145" s="60">
        <f t="shared" si="31"/>
        <v>121243.51000000001</v>
      </c>
      <c r="D145" s="60">
        <v>35668.49</v>
      </c>
      <c r="E145" s="60">
        <f>10485+243203.73+2306.65</f>
        <v>255995.38</v>
      </c>
      <c r="F145" s="60"/>
      <c r="G145" s="60">
        <v>412907.38</v>
      </c>
      <c r="H145" s="60">
        <f t="shared" si="38"/>
        <v>495488.85599999997</v>
      </c>
      <c r="I145" s="59">
        <v>2761700.7040000004</v>
      </c>
      <c r="J145" s="59">
        <f t="shared" si="34"/>
        <v>3314040.8448000005</v>
      </c>
      <c r="K145" s="58">
        <v>14.41</v>
      </c>
      <c r="L145" s="59">
        <f t="shared" si="35"/>
        <v>1747118.9791000001</v>
      </c>
      <c r="M145" s="58">
        <v>6.77</v>
      </c>
      <c r="N145" s="59">
        <f t="shared" si="36"/>
        <v>241475.67729999998</v>
      </c>
      <c r="O145" s="58">
        <v>3.02</v>
      </c>
      <c r="P145" s="59">
        <f t="shared" si="37"/>
        <v>773106.04760000005</v>
      </c>
      <c r="Q145" s="58"/>
      <c r="R145" s="63"/>
      <c r="S145" s="59">
        <v>0</v>
      </c>
      <c r="T145" s="72">
        <f t="shared" si="30"/>
        <v>3314040.8448000005</v>
      </c>
    </row>
    <row r="146" spans="1:20" hidden="1" x14ac:dyDescent="0.25">
      <c r="A146" s="62">
        <v>142</v>
      </c>
      <c r="B146" s="64" t="s">
        <v>246</v>
      </c>
      <c r="C146" s="60">
        <f t="shared" si="31"/>
        <v>121994.69999999998</v>
      </c>
      <c r="D146" s="60">
        <v>35286.28</v>
      </c>
      <c r="E146" s="60">
        <f>39838.56+295367.83+2306.65</f>
        <v>337513.04000000004</v>
      </c>
      <c r="F146" s="60"/>
      <c r="G146" s="60">
        <v>494794.02</v>
      </c>
      <c r="H146" s="60">
        <v>593752.82999999996</v>
      </c>
      <c r="I146" s="59">
        <v>3016121.1233999999</v>
      </c>
      <c r="J146" s="59">
        <f t="shared" si="34"/>
        <v>3619345.3480799999</v>
      </c>
      <c r="K146" s="58">
        <v>14.41</v>
      </c>
      <c r="L146" s="59">
        <f t="shared" si="35"/>
        <v>1757943.6269999999</v>
      </c>
      <c r="M146" s="58">
        <v>6.77</v>
      </c>
      <c r="N146" s="59">
        <f t="shared" si="36"/>
        <v>238888.11559999999</v>
      </c>
      <c r="O146" s="58">
        <v>3.02</v>
      </c>
      <c r="P146" s="59">
        <f t="shared" si="37"/>
        <v>1019289.3808000002</v>
      </c>
      <c r="Q146" s="58"/>
      <c r="R146" s="63"/>
      <c r="S146" s="59">
        <v>0</v>
      </c>
      <c r="T146" s="72">
        <f t="shared" si="30"/>
        <v>3619345.3480799999</v>
      </c>
    </row>
    <row r="147" spans="1:20" hidden="1" x14ac:dyDescent="0.25">
      <c r="A147" s="62">
        <v>143</v>
      </c>
      <c r="B147" s="64" t="s">
        <v>247</v>
      </c>
      <c r="C147" s="60">
        <f t="shared" si="31"/>
        <v>128720.63999999993</v>
      </c>
      <c r="D147" s="60">
        <v>35653.65</v>
      </c>
      <c r="E147" s="60">
        <f>39838.56+377823.82+2306.65</f>
        <v>419969.03</v>
      </c>
      <c r="F147" s="60"/>
      <c r="G147" s="60">
        <v>584343.31999999995</v>
      </c>
      <c r="H147" s="60">
        <v>701211.99</v>
      </c>
      <c r="I147" s="59">
        <v>3364546.1034999993</v>
      </c>
      <c r="J147" s="59">
        <f t="shared" si="34"/>
        <v>4037455.3241999988</v>
      </c>
      <c r="K147" s="58">
        <v>14.41</v>
      </c>
      <c r="L147" s="59">
        <f t="shared" si="35"/>
        <v>1854864.4223999989</v>
      </c>
      <c r="M147" s="58">
        <v>6.77</v>
      </c>
      <c r="N147" s="59">
        <f t="shared" si="36"/>
        <v>241375.21049999999</v>
      </c>
      <c r="O147" s="58">
        <v>3.02</v>
      </c>
      <c r="P147" s="59">
        <f t="shared" si="37"/>
        <v>1268306.4706000001</v>
      </c>
      <c r="Q147" s="58"/>
      <c r="R147" s="63"/>
      <c r="S147" s="59">
        <v>0</v>
      </c>
      <c r="T147" s="72">
        <f t="shared" si="30"/>
        <v>4037455.3241999988</v>
      </c>
    </row>
    <row r="148" spans="1:20" hidden="1" x14ac:dyDescent="0.25">
      <c r="A148" s="62">
        <v>144</v>
      </c>
      <c r="B148" s="64" t="s">
        <v>248</v>
      </c>
      <c r="C148" s="60">
        <f t="shared" si="31"/>
        <v>136316.06000000006</v>
      </c>
      <c r="D148" s="60">
        <v>35903.19</v>
      </c>
      <c r="E148" s="60">
        <f>39838.56+464851.85+2306.65</f>
        <v>506997.06</v>
      </c>
      <c r="F148" s="60"/>
      <c r="G148" s="60">
        <v>679216.31</v>
      </c>
      <c r="H148" s="60">
        <f>G148*1.2</f>
        <v>815059.57200000004</v>
      </c>
      <c r="I148" s="59">
        <v>3738510.1421000008</v>
      </c>
      <c r="J148" s="59">
        <f t="shared" si="34"/>
        <v>4486212.1705200011</v>
      </c>
      <c r="K148" s="58">
        <v>14.41</v>
      </c>
      <c r="L148" s="59">
        <f t="shared" si="35"/>
        <v>1964314.4246000007</v>
      </c>
      <c r="M148" s="58">
        <v>6.77</v>
      </c>
      <c r="N148" s="59">
        <f t="shared" si="36"/>
        <v>243064.5963</v>
      </c>
      <c r="O148" s="58">
        <v>3.02</v>
      </c>
      <c r="P148" s="59">
        <f t="shared" si="37"/>
        <v>1531131.1211999999</v>
      </c>
      <c r="Q148" s="58"/>
      <c r="R148" s="63"/>
      <c r="S148" s="59">
        <v>0</v>
      </c>
      <c r="T148" s="72">
        <f t="shared" si="30"/>
        <v>4486212.1705200011</v>
      </c>
    </row>
    <row r="149" spans="1:20" hidden="1" x14ac:dyDescent="0.25">
      <c r="A149" s="62">
        <v>145</v>
      </c>
      <c r="B149" s="64" t="s">
        <v>249</v>
      </c>
      <c r="C149" s="60">
        <f t="shared" si="31"/>
        <v>169801.56999999998</v>
      </c>
      <c r="D149" s="60">
        <v>48280.72</v>
      </c>
      <c r="E149" s="60">
        <f>10485+337011.82+2306.65</f>
        <v>349803.47000000003</v>
      </c>
      <c r="F149" s="60"/>
      <c r="G149" s="60">
        <v>567885.76</v>
      </c>
      <c r="H149" s="60">
        <v>681462.9</v>
      </c>
      <c r="I149" s="59">
        <v>3830107.5775000001</v>
      </c>
      <c r="J149" s="59">
        <f t="shared" si="34"/>
        <v>4596129.0930000003</v>
      </c>
      <c r="K149" s="58">
        <v>14.41</v>
      </c>
      <c r="L149" s="59">
        <f t="shared" si="35"/>
        <v>2446840.6236999999</v>
      </c>
      <c r="M149" s="58">
        <v>6.77</v>
      </c>
      <c r="N149" s="59">
        <f t="shared" si="36"/>
        <v>326860.47440000001</v>
      </c>
      <c r="O149" s="58">
        <v>3.02</v>
      </c>
      <c r="P149" s="59">
        <f t="shared" si="37"/>
        <v>1056406.4794000001</v>
      </c>
      <c r="Q149" s="58"/>
      <c r="R149" s="63"/>
      <c r="S149" s="59">
        <v>0</v>
      </c>
      <c r="T149" s="72">
        <f t="shared" si="30"/>
        <v>4596129.0930000003</v>
      </c>
    </row>
    <row r="150" spans="1:20" hidden="1" x14ac:dyDescent="0.25">
      <c r="A150" s="62">
        <v>146</v>
      </c>
      <c r="B150" s="64" t="s">
        <v>250</v>
      </c>
      <c r="C150" s="60">
        <f t="shared" si="31"/>
        <v>178445.95999999996</v>
      </c>
      <c r="D150" s="60">
        <v>49079.74</v>
      </c>
      <c r="E150" s="60">
        <f>10485+438615.24+2306.65</f>
        <v>451406.89</v>
      </c>
      <c r="F150" s="60"/>
      <c r="G150" s="60">
        <v>678932.59</v>
      </c>
      <c r="H150" s="60">
        <v>814719.1</v>
      </c>
      <c r="I150" s="59">
        <v>4266924.9311999995</v>
      </c>
      <c r="J150" s="59">
        <f t="shared" si="34"/>
        <v>5120309.9174399991</v>
      </c>
      <c r="K150" s="58">
        <v>14.41</v>
      </c>
      <c r="L150" s="59">
        <f t="shared" si="35"/>
        <v>2571406.2835999993</v>
      </c>
      <c r="M150" s="58">
        <v>6.77</v>
      </c>
      <c r="N150" s="59">
        <f t="shared" si="36"/>
        <v>332269.83979999996</v>
      </c>
      <c r="O150" s="58">
        <v>3.02</v>
      </c>
      <c r="P150" s="59">
        <f t="shared" si="37"/>
        <v>1363248.8078000001</v>
      </c>
      <c r="Q150" s="58"/>
      <c r="R150" s="63"/>
      <c r="S150" s="59">
        <v>0</v>
      </c>
      <c r="T150" s="72">
        <f t="shared" si="30"/>
        <v>5120309.9174399991</v>
      </c>
    </row>
    <row r="151" spans="1:20" hidden="1" x14ac:dyDescent="0.25">
      <c r="A151" s="62">
        <v>147</v>
      </c>
      <c r="B151" s="64" t="s">
        <v>251</v>
      </c>
      <c r="C151" s="60">
        <f t="shared" si="31"/>
        <v>184061.68999999997</v>
      </c>
      <c r="D151" s="60">
        <v>49826.34</v>
      </c>
      <c r="E151" s="60">
        <f>10485+484272.07+2306.65</f>
        <v>497063.72000000003</v>
      </c>
      <c r="F151" s="60"/>
      <c r="G151" s="60">
        <v>730951.75</v>
      </c>
      <c r="H151" s="60">
        <v>877142.09</v>
      </c>
      <c r="I151" s="59">
        <v>4490785.7090999996</v>
      </c>
      <c r="J151" s="59">
        <f t="shared" si="34"/>
        <v>5388942.8509199992</v>
      </c>
      <c r="K151" s="58">
        <v>14.41</v>
      </c>
      <c r="L151" s="59">
        <f t="shared" si="35"/>
        <v>2652328.9528999995</v>
      </c>
      <c r="M151" s="58">
        <v>6.77</v>
      </c>
      <c r="N151" s="59">
        <f t="shared" si="36"/>
        <v>337324.32179999998</v>
      </c>
      <c r="O151" s="58">
        <v>3.02</v>
      </c>
      <c r="P151" s="59">
        <f t="shared" si="37"/>
        <v>1501132.4344000001</v>
      </c>
      <c r="Q151" s="58"/>
      <c r="R151" s="63"/>
      <c r="S151" s="59">
        <v>0</v>
      </c>
      <c r="T151" s="72">
        <f t="shared" si="30"/>
        <v>5388942.8509199992</v>
      </c>
    </row>
    <row r="152" spans="1:20" hidden="1" x14ac:dyDescent="0.25">
      <c r="A152" s="62">
        <v>148</v>
      </c>
      <c r="B152" s="64" t="s">
        <v>252</v>
      </c>
      <c r="C152" s="60">
        <f t="shared" si="31"/>
        <v>186870.9500000001</v>
      </c>
      <c r="D152" s="60">
        <v>49782.29</v>
      </c>
      <c r="E152" s="60">
        <f>54515.34+589567.08+2306.65</f>
        <v>646389.06999999995</v>
      </c>
      <c r="F152" s="60"/>
      <c r="G152" s="60">
        <v>883042.31</v>
      </c>
      <c r="H152" s="60">
        <f>G152*1.2</f>
        <v>1059650.7720000001</v>
      </c>
      <c r="I152" s="59">
        <v>4981931.4842000017</v>
      </c>
      <c r="J152" s="59">
        <f t="shared" si="34"/>
        <v>5978317.7810400017</v>
      </c>
      <c r="K152" s="58">
        <v>14.41</v>
      </c>
      <c r="L152" s="59">
        <f t="shared" si="35"/>
        <v>2692810.3895000014</v>
      </c>
      <c r="M152" s="58">
        <v>6.77</v>
      </c>
      <c r="N152" s="59">
        <f t="shared" si="36"/>
        <v>337026.10329999996</v>
      </c>
      <c r="O152" s="58">
        <v>3.02</v>
      </c>
      <c r="P152" s="59">
        <f t="shared" si="37"/>
        <v>1952094.9913999999</v>
      </c>
      <c r="Q152" s="58"/>
      <c r="R152" s="63"/>
      <c r="S152" s="59">
        <v>0</v>
      </c>
      <c r="T152" s="72">
        <f t="shared" si="30"/>
        <v>5978317.7810400017</v>
      </c>
    </row>
    <row r="153" spans="1:20" hidden="1" x14ac:dyDescent="0.25">
      <c r="A153" s="62">
        <v>149</v>
      </c>
      <c r="B153" s="64" t="s">
        <v>253</v>
      </c>
      <c r="C153" s="60">
        <f t="shared" si="31"/>
        <v>200983.43999999992</v>
      </c>
      <c r="D153" s="60">
        <v>49951.73</v>
      </c>
      <c r="E153" s="60">
        <f>54515.34+754479.05+2306.65</f>
        <v>811301.04</v>
      </c>
      <c r="F153" s="60"/>
      <c r="G153" s="60">
        <v>1062236.21</v>
      </c>
      <c r="H153" s="60">
        <f>G153*1.2</f>
        <v>1274683.4519999998</v>
      </c>
      <c r="I153" s="59">
        <v>5684473.7232999988</v>
      </c>
      <c r="J153" s="59">
        <f t="shared" si="34"/>
        <v>6821368.4679599982</v>
      </c>
      <c r="K153" s="58">
        <v>14.41</v>
      </c>
      <c r="L153" s="59">
        <f t="shared" si="35"/>
        <v>2896171.370399999</v>
      </c>
      <c r="M153" s="58">
        <v>6.77</v>
      </c>
      <c r="N153" s="59">
        <f t="shared" si="36"/>
        <v>338173.2121</v>
      </c>
      <c r="O153" s="58">
        <v>3.02</v>
      </c>
      <c r="P153" s="59">
        <f t="shared" si="37"/>
        <v>2450129.1408000002</v>
      </c>
      <c r="Q153" s="58"/>
      <c r="R153" s="63"/>
      <c r="S153" s="59">
        <v>0</v>
      </c>
      <c r="T153" s="72">
        <f t="shared" si="30"/>
        <v>6821368.4679599982</v>
      </c>
    </row>
    <row r="154" spans="1:20" hidden="1" x14ac:dyDescent="0.25">
      <c r="A154" s="62">
        <v>150</v>
      </c>
      <c r="B154" s="64" t="s">
        <v>254</v>
      </c>
      <c r="C154" s="60">
        <f t="shared" si="31"/>
        <v>216297.26000000007</v>
      </c>
      <c r="D154" s="60">
        <v>51181.919999999998</v>
      </c>
      <c r="E154" s="60">
        <f>54515.34+928535.11+2306.65</f>
        <v>985357.1</v>
      </c>
      <c r="F154" s="60"/>
      <c r="G154" s="60">
        <v>1252836.28</v>
      </c>
      <c r="H154" s="60">
        <f>G154*1.2</f>
        <v>1503403.5360000001</v>
      </c>
      <c r="I154" s="59">
        <v>6439123.557000001</v>
      </c>
      <c r="J154" s="59">
        <f t="shared" si="34"/>
        <v>7726948.2684000004</v>
      </c>
      <c r="K154" s="58">
        <v>14.41</v>
      </c>
      <c r="L154" s="59">
        <f t="shared" si="35"/>
        <v>3116843.5166000011</v>
      </c>
      <c r="M154" s="58">
        <v>6.77</v>
      </c>
      <c r="N154" s="59">
        <f t="shared" si="36"/>
        <v>346501.59839999996</v>
      </c>
      <c r="O154" s="58">
        <v>3.02</v>
      </c>
      <c r="P154" s="59">
        <f t="shared" si="37"/>
        <v>2975778.4419999998</v>
      </c>
      <c r="Q154" s="58"/>
      <c r="R154" s="63"/>
      <c r="S154" s="59">
        <v>0</v>
      </c>
      <c r="T154" s="72">
        <f t="shared" si="30"/>
        <v>7726948.2684000004</v>
      </c>
    </row>
    <row r="155" spans="1:20" hidden="1" x14ac:dyDescent="0.25">
      <c r="A155" s="62">
        <v>151</v>
      </c>
      <c r="B155" s="64" t="s">
        <v>255</v>
      </c>
      <c r="C155" s="60">
        <f t="shared" si="31"/>
        <v>12490.490000000002</v>
      </c>
      <c r="D155" s="60">
        <v>2721.59</v>
      </c>
      <c r="E155" s="60">
        <f>1321+25360.82+357</f>
        <v>27038.82</v>
      </c>
      <c r="F155" s="60"/>
      <c r="G155" s="60">
        <v>42250.9</v>
      </c>
      <c r="H155" s="60">
        <v>50701.07</v>
      </c>
      <c r="I155" s="59">
        <v>280070.36160000006</v>
      </c>
      <c r="J155" s="59">
        <f t="shared" si="34"/>
        <v>336084.43392000004</v>
      </c>
      <c r="K155" s="58">
        <v>14.41</v>
      </c>
      <c r="L155" s="59">
        <f t="shared" si="35"/>
        <v>179987.96090000003</v>
      </c>
      <c r="M155" s="58">
        <v>6.77</v>
      </c>
      <c r="N155" s="59">
        <f t="shared" si="36"/>
        <v>18425.1643</v>
      </c>
      <c r="O155" s="58">
        <v>3.02</v>
      </c>
      <c r="P155" s="59">
        <f t="shared" si="37"/>
        <v>81657.236399999994</v>
      </c>
      <c r="Q155" s="58"/>
      <c r="R155" s="63"/>
      <c r="S155" s="59">
        <v>0</v>
      </c>
      <c r="T155" s="72">
        <f t="shared" si="30"/>
        <v>336084.43392000004</v>
      </c>
    </row>
    <row r="156" spans="1:20" hidden="1" x14ac:dyDescent="0.25">
      <c r="A156" s="62">
        <v>152</v>
      </c>
      <c r="B156" s="64" t="s">
        <v>256</v>
      </c>
      <c r="C156" s="60">
        <f t="shared" si="31"/>
        <v>12659.119999999999</v>
      </c>
      <c r="D156" s="60">
        <v>2838.2</v>
      </c>
      <c r="E156" s="60">
        <f>4256+22871.97+357</f>
        <v>27484.97</v>
      </c>
      <c r="F156" s="60"/>
      <c r="G156" s="60">
        <v>42982.29</v>
      </c>
      <c r="H156" s="60">
        <f>G156*1.2</f>
        <v>51578.748</v>
      </c>
      <c r="I156" s="59">
        <v>284637.14259999996</v>
      </c>
      <c r="J156" s="59">
        <f t="shared" si="34"/>
        <v>341564.57111999992</v>
      </c>
      <c r="K156" s="58">
        <v>14.41</v>
      </c>
      <c r="L156" s="59">
        <f t="shared" si="35"/>
        <v>182417.91919999997</v>
      </c>
      <c r="M156" s="58">
        <v>6.77</v>
      </c>
      <c r="N156" s="59">
        <f t="shared" si="36"/>
        <v>19214.613999999998</v>
      </c>
      <c r="O156" s="58">
        <v>3.02</v>
      </c>
      <c r="P156" s="59">
        <f t="shared" si="37"/>
        <v>83004.609400000001</v>
      </c>
      <c r="Q156" s="58"/>
      <c r="R156" s="63"/>
      <c r="S156" s="59">
        <v>0</v>
      </c>
      <c r="T156" s="72">
        <f t="shared" si="30"/>
        <v>341564.57111999992</v>
      </c>
    </row>
    <row r="157" spans="1:20" hidden="1" x14ac:dyDescent="0.25">
      <c r="A157" s="62">
        <v>153</v>
      </c>
      <c r="B157" s="64" t="s">
        <v>257</v>
      </c>
      <c r="C157" s="60">
        <f t="shared" si="31"/>
        <v>15051.199999999997</v>
      </c>
      <c r="D157" s="60">
        <v>3443.39</v>
      </c>
      <c r="E157" s="60">
        <f>1321.11+29389.1+357.47</f>
        <v>31067.68</v>
      </c>
      <c r="F157" s="60"/>
      <c r="G157" s="60">
        <v>49562.27</v>
      </c>
      <c r="H157" s="60">
        <f>G157*1.2</f>
        <v>59474.723999999995</v>
      </c>
      <c r="I157" s="59">
        <v>334023.93589999992</v>
      </c>
      <c r="J157" s="59">
        <f t="shared" si="34"/>
        <v>400828.72307999991</v>
      </c>
      <c r="K157" s="58">
        <v>14.41</v>
      </c>
      <c r="L157" s="59">
        <f t="shared" si="35"/>
        <v>216887.79199999996</v>
      </c>
      <c r="M157" s="58">
        <v>6.77</v>
      </c>
      <c r="N157" s="59">
        <f t="shared" si="36"/>
        <v>23311.750299999996</v>
      </c>
      <c r="O157" s="58">
        <v>3.02</v>
      </c>
      <c r="P157" s="59">
        <f t="shared" si="37"/>
        <v>93824.393599999996</v>
      </c>
      <c r="Q157" s="58"/>
      <c r="R157" s="63"/>
      <c r="S157" s="59">
        <v>0</v>
      </c>
      <c r="T157" s="72">
        <f t="shared" si="30"/>
        <v>400828.72307999991</v>
      </c>
    </row>
    <row r="158" spans="1:20" hidden="1" x14ac:dyDescent="0.25">
      <c r="A158" s="62">
        <v>154</v>
      </c>
      <c r="B158" s="64" t="s">
        <v>258</v>
      </c>
      <c r="C158" s="60">
        <f t="shared" si="31"/>
        <v>15871.579999999994</v>
      </c>
      <c r="D158" s="60">
        <v>3443.39</v>
      </c>
      <c r="E158" s="60">
        <f>4256.47+52029.43+357.47</f>
        <v>56643.37</v>
      </c>
      <c r="F158" s="60"/>
      <c r="G158" s="60">
        <v>75958.34</v>
      </c>
      <c r="H158" s="60">
        <f>G158*1.2</f>
        <v>91150.007999999987</v>
      </c>
      <c r="I158" s="59">
        <v>423084.19549999991</v>
      </c>
      <c r="J158" s="59">
        <f t="shared" si="34"/>
        <v>507701.0345999999</v>
      </c>
      <c r="K158" s="58">
        <v>14.41</v>
      </c>
      <c r="L158" s="59">
        <f t="shared" si="35"/>
        <v>228709.46779999993</v>
      </c>
      <c r="M158" s="58">
        <v>6.77</v>
      </c>
      <c r="N158" s="59">
        <f t="shared" si="36"/>
        <v>23311.750299999996</v>
      </c>
      <c r="O158" s="58">
        <v>3.02</v>
      </c>
      <c r="P158" s="59">
        <f t="shared" si="37"/>
        <v>171062.9774</v>
      </c>
      <c r="Q158" s="58"/>
      <c r="R158" s="63"/>
      <c r="S158" s="59">
        <v>0</v>
      </c>
      <c r="T158" s="72">
        <f t="shared" ref="T158:T221" si="39">I158*1.2</f>
        <v>507701.0345999999</v>
      </c>
    </row>
    <row r="159" spans="1:20" hidden="1" x14ac:dyDescent="0.25">
      <c r="A159" s="62">
        <v>155</v>
      </c>
      <c r="B159" s="64" t="s">
        <v>259</v>
      </c>
      <c r="C159" s="60">
        <f t="shared" ref="C159:C188" si="40">G159-E159-D159</f>
        <v>14680.869999999997</v>
      </c>
      <c r="D159" s="60">
        <v>3264.15</v>
      </c>
      <c r="E159" s="60">
        <f>1321.11+33124.75+357.47</f>
        <v>34803.33</v>
      </c>
      <c r="F159" s="60"/>
      <c r="G159" s="60">
        <v>52748.35</v>
      </c>
      <c r="H159" s="60">
        <f>G159*1.2</f>
        <v>63298.02</v>
      </c>
      <c r="I159" s="59">
        <v>338755.6888</v>
      </c>
      <c r="J159" s="59">
        <f t="shared" si="34"/>
        <v>406506.82656000002</v>
      </c>
      <c r="K159" s="58">
        <v>14.41</v>
      </c>
      <c r="L159" s="59">
        <f t="shared" si="35"/>
        <v>211551.33669999996</v>
      </c>
      <c r="M159" s="58">
        <v>6.77</v>
      </c>
      <c r="N159" s="59">
        <f t="shared" si="36"/>
        <v>22098.2955</v>
      </c>
      <c r="O159" s="58">
        <v>3.02</v>
      </c>
      <c r="P159" s="59">
        <f t="shared" si="37"/>
        <v>105106.05660000001</v>
      </c>
      <c r="Q159" s="58"/>
      <c r="R159" s="63"/>
      <c r="S159" s="59">
        <v>0</v>
      </c>
      <c r="T159" s="72">
        <f t="shared" si="39"/>
        <v>406506.82656000002</v>
      </c>
    </row>
    <row r="160" spans="1:20" ht="15.75" hidden="1" customHeight="1" x14ac:dyDescent="0.25">
      <c r="A160" s="62">
        <v>156</v>
      </c>
      <c r="B160" s="64" t="s">
        <v>260</v>
      </c>
      <c r="C160" s="60">
        <f t="shared" si="40"/>
        <v>17762.37</v>
      </c>
      <c r="D160" s="60">
        <v>3497.34</v>
      </c>
      <c r="E160" s="60">
        <f>5724.14+46000.46+357.47</f>
        <v>52082.07</v>
      </c>
      <c r="F160" s="60"/>
      <c r="G160" s="60">
        <v>73341.78</v>
      </c>
      <c r="H160" s="60">
        <v>88010.13</v>
      </c>
      <c r="I160" s="59">
        <v>436920.59490000003</v>
      </c>
      <c r="J160" s="59">
        <f t="shared" si="34"/>
        <v>524304.71388000005</v>
      </c>
      <c r="K160" s="58">
        <v>14.41</v>
      </c>
      <c r="L160" s="59">
        <f t="shared" si="35"/>
        <v>255955.75169999999</v>
      </c>
      <c r="M160" s="58">
        <v>6.77</v>
      </c>
      <c r="N160" s="59">
        <f t="shared" si="36"/>
        <v>23676.9918</v>
      </c>
      <c r="O160" s="58">
        <v>3.02</v>
      </c>
      <c r="P160" s="59">
        <f t="shared" si="37"/>
        <v>157287.85140000001</v>
      </c>
      <c r="Q160" s="58"/>
      <c r="R160" s="63"/>
      <c r="S160" s="59">
        <v>0</v>
      </c>
      <c r="T160" s="72">
        <f t="shared" si="39"/>
        <v>524304.71388000005</v>
      </c>
    </row>
    <row r="161" spans="1:20" ht="15" hidden="1" customHeight="1" x14ac:dyDescent="0.25">
      <c r="A161" s="62">
        <v>157</v>
      </c>
      <c r="B161" s="64" t="s">
        <v>261</v>
      </c>
      <c r="C161" s="60">
        <f t="shared" si="40"/>
        <v>22005.659999999993</v>
      </c>
      <c r="D161" s="60">
        <v>5126.7</v>
      </c>
      <c r="E161" s="60">
        <f>1321.11+41895.96+357.47</f>
        <v>43574.54</v>
      </c>
      <c r="F161" s="60"/>
      <c r="G161" s="60">
        <v>70706.899999999994</v>
      </c>
      <c r="H161" s="60">
        <v>84848.29</v>
      </c>
      <c r="I161" s="59">
        <v>483404.43039999995</v>
      </c>
      <c r="J161" s="59">
        <f t="shared" si="34"/>
        <v>580085.31647999992</v>
      </c>
      <c r="K161" s="58">
        <v>14.41</v>
      </c>
      <c r="L161" s="59">
        <f t="shared" si="35"/>
        <v>317101.56059999991</v>
      </c>
      <c r="M161" s="58">
        <v>6.77</v>
      </c>
      <c r="N161" s="59">
        <f t="shared" si="36"/>
        <v>34707.758999999998</v>
      </c>
      <c r="O161" s="58">
        <v>3.02</v>
      </c>
      <c r="P161" s="59">
        <f t="shared" si="37"/>
        <v>131595.11079999999</v>
      </c>
      <c r="Q161" s="58"/>
      <c r="R161" s="63"/>
      <c r="S161" s="59">
        <v>0</v>
      </c>
      <c r="T161" s="72">
        <f t="shared" si="39"/>
        <v>580085.31647999992</v>
      </c>
    </row>
    <row r="162" spans="1:20" hidden="1" x14ac:dyDescent="0.25">
      <c r="A162" s="62">
        <v>158</v>
      </c>
      <c r="B162" s="64" t="s">
        <v>262</v>
      </c>
      <c r="C162" s="60">
        <f t="shared" si="40"/>
        <v>22581.069999999996</v>
      </c>
      <c r="D162" s="60">
        <v>4652.84</v>
      </c>
      <c r="E162" s="60">
        <f>5724.14+58108.15+357.47</f>
        <v>64189.760000000002</v>
      </c>
      <c r="F162" s="60"/>
      <c r="G162" s="60">
        <v>91423.67</v>
      </c>
      <c r="H162" s="60">
        <v>109708.41</v>
      </c>
      <c r="I162" s="59">
        <v>550746.02069999999</v>
      </c>
      <c r="J162" s="59">
        <f t="shared" si="34"/>
        <v>660895.22483999992</v>
      </c>
      <c r="K162" s="58">
        <v>14.41</v>
      </c>
      <c r="L162" s="59">
        <f t="shared" si="35"/>
        <v>325393.21869999997</v>
      </c>
      <c r="M162" s="58">
        <v>6.77</v>
      </c>
      <c r="N162" s="59">
        <f t="shared" si="36"/>
        <v>31499.7268</v>
      </c>
      <c r="O162" s="58">
        <v>3.02</v>
      </c>
      <c r="P162" s="59">
        <f t="shared" si="37"/>
        <v>193853.07520000002</v>
      </c>
      <c r="Q162" s="58"/>
      <c r="R162" s="63"/>
      <c r="S162" s="59">
        <v>0</v>
      </c>
      <c r="T162" s="72">
        <f t="shared" si="39"/>
        <v>660895.22483999992</v>
      </c>
    </row>
    <row r="163" spans="1:20" ht="14.25" hidden="1" customHeight="1" x14ac:dyDescent="0.25">
      <c r="A163" s="62">
        <v>159</v>
      </c>
      <c r="B163" s="64" t="s">
        <v>263</v>
      </c>
      <c r="C163" s="60">
        <f t="shared" si="40"/>
        <v>14898.929999999993</v>
      </c>
      <c r="D163" s="60">
        <v>2991.21</v>
      </c>
      <c r="E163" s="60">
        <f>1614.69+42366.98+357</f>
        <v>44338.670000000006</v>
      </c>
      <c r="F163" s="60"/>
      <c r="G163" s="60">
        <v>62228.81</v>
      </c>
      <c r="H163" s="60">
        <f>G163*1.2</f>
        <v>74674.572</v>
      </c>
      <c r="I163" s="59">
        <v>368846.85639999993</v>
      </c>
      <c r="J163" s="59">
        <f t="shared" si="34"/>
        <v>442616.22767999989</v>
      </c>
      <c r="K163" s="58">
        <v>14.41</v>
      </c>
      <c r="L163" s="59">
        <f t="shared" si="35"/>
        <v>214693.5812999999</v>
      </c>
      <c r="M163" s="58">
        <v>6.77</v>
      </c>
      <c r="N163" s="59">
        <f t="shared" si="36"/>
        <v>20250.491699999999</v>
      </c>
      <c r="O163" s="58">
        <v>3.02</v>
      </c>
      <c r="P163" s="59">
        <f t="shared" si="37"/>
        <v>133902.78340000001</v>
      </c>
      <c r="Q163" s="58"/>
      <c r="R163" s="63"/>
      <c r="S163" s="59">
        <v>0</v>
      </c>
      <c r="T163" s="72">
        <f t="shared" si="39"/>
        <v>442616.22767999989</v>
      </c>
    </row>
    <row r="164" spans="1:20" ht="14.25" hidden="1" customHeight="1" x14ac:dyDescent="0.25">
      <c r="A164" s="62">
        <v>160</v>
      </c>
      <c r="B164" s="64" t="s">
        <v>264</v>
      </c>
      <c r="C164" s="60">
        <f t="shared" si="40"/>
        <v>15800.72</v>
      </c>
      <c r="D164" s="60">
        <v>3699.24</v>
      </c>
      <c r="E164" s="60">
        <f>1614.69+62427.93+357</f>
        <v>64399.62</v>
      </c>
      <c r="F164" s="60"/>
      <c r="G164" s="60">
        <v>83899.58</v>
      </c>
      <c r="H164" s="60">
        <f>G164*1.2</f>
        <v>100679.496</v>
      </c>
      <c r="I164" s="59">
        <v>447219.08239999996</v>
      </c>
      <c r="J164" s="59">
        <f t="shared" si="34"/>
        <v>536662.89887999988</v>
      </c>
      <c r="K164" s="58">
        <v>14.41</v>
      </c>
      <c r="L164" s="59">
        <f t="shared" si="35"/>
        <v>227688.37519999998</v>
      </c>
      <c r="M164" s="58">
        <v>6.77</v>
      </c>
      <c r="N164" s="59">
        <f t="shared" si="36"/>
        <v>25043.854799999997</v>
      </c>
      <c r="O164" s="58">
        <v>3.02</v>
      </c>
      <c r="P164" s="59">
        <f t="shared" si="37"/>
        <v>194486.8524</v>
      </c>
      <c r="Q164" s="58"/>
      <c r="R164" s="63"/>
      <c r="S164" s="59">
        <v>0</v>
      </c>
      <c r="T164" s="72">
        <f t="shared" si="39"/>
        <v>536662.89887999988</v>
      </c>
    </row>
    <row r="165" spans="1:20" hidden="1" x14ac:dyDescent="0.25">
      <c r="A165" s="62">
        <v>161</v>
      </c>
      <c r="B165" s="64" t="s">
        <v>265</v>
      </c>
      <c r="C165" s="60">
        <f t="shared" si="40"/>
        <v>19578.980000000003</v>
      </c>
      <c r="D165" s="60">
        <v>3582.57</v>
      </c>
      <c r="E165" s="60">
        <f>1614.69+78873.86+357</f>
        <v>80845.55</v>
      </c>
      <c r="F165" s="60"/>
      <c r="G165" s="60">
        <v>104007.1</v>
      </c>
      <c r="H165" s="60">
        <v>124808.51</v>
      </c>
      <c r="I165" s="59">
        <v>550540.66170000006</v>
      </c>
      <c r="J165" s="59">
        <f t="shared" si="34"/>
        <v>660648.79404000007</v>
      </c>
      <c r="K165" s="58">
        <v>14.41</v>
      </c>
      <c r="L165" s="59">
        <f t="shared" si="35"/>
        <v>282133.10180000006</v>
      </c>
      <c r="M165" s="58">
        <v>6.77</v>
      </c>
      <c r="N165" s="59">
        <f t="shared" si="36"/>
        <v>24253.998899999999</v>
      </c>
      <c r="O165" s="58">
        <v>3.02</v>
      </c>
      <c r="P165" s="59">
        <f t="shared" si="37"/>
        <v>244153.56100000002</v>
      </c>
      <c r="Q165" s="58"/>
      <c r="R165" s="63"/>
      <c r="S165" s="59">
        <v>0</v>
      </c>
      <c r="T165" s="72">
        <f t="shared" si="39"/>
        <v>660648.79404000007</v>
      </c>
    </row>
    <row r="166" spans="1:20" hidden="1" x14ac:dyDescent="0.25">
      <c r="A166" s="62">
        <v>162</v>
      </c>
      <c r="B166" s="64" t="s">
        <v>266</v>
      </c>
      <c r="C166" s="60">
        <f t="shared" si="40"/>
        <v>23542.140000000007</v>
      </c>
      <c r="D166" s="60">
        <v>3582.57</v>
      </c>
      <c r="E166" s="60">
        <f>1614.69+123980.95+357</f>
        <v>125952.64</v>
      </c>
      <c r="F166" s="60"/>
      <c r="G166" s="60">
        <v>153077.35</v>
      </c>
      <c r="H166" s="60">
        <f t="shared" ref="H166:H171" si="41">G166*1.2</f>
        <v>183692.82</v>
      </c>
      <c r="I166" s="59">
        <v>743873.20910000009</v>
      </c>
      <c r="J166" s="59">
        <f t="shared" si="34"/>
        <v>892647.85092000011</v>
      </c>
      <c r="K166" s="58">
        <v>14.41</v>
      </c>
      <c r="L166" s="59">
        <f t="shared" si="35"/>
        <v>339242.2374000001</v>
      </c>
      <c r="M166" s="58">
        <v>6.77</v>
      </c>
      <c r="N166" s="59">
        <f t="shared" si="36"/>
        <v>24253.998899999999</v>
      </c>
      <c r="O166" s="58">
        <v>3.02</v>
      </c>
      <c r="P166" s="59">
        <f t="shared" si="37"/>
        <v>380376.97279999999</v>
      </c>
      <c r="Q166" s="58"/>
      <c r="R166" s="63"/>
      <c r="S166" s="59">
        <v>0</v>
      </c>
      <c r="T166" s="72">
        <f t="shared" si="39"/>
        <v>892647.85092000011</v>
      </c>
    </row>
    <row r="167" spans="1:20" hidden="1" x14ac:dyDescent="0.25">
      <c r="A167" s="62">
        <v>163</v>
      </c>
      <c r="B167" s="64" t="s">
        <v>267</v>
      </c>
      <c r="C167" s="60">
        <f t="shared" si="40"/>
        <v>7263.0200000000013</v>
      </c>
      <c r="D167" s="60">
        <v>1765.86</v>
      </c>
      <c r="E167" s="60">
        <v>2306.65</v>
      </c>
      <c r="F167" s="60"/>
      <c r="G167" s="60">
        <v>11335.53</v>
      </c>
      <c r="H167" s="60">
        <f t="shared" si="41"/>
        <v>13602.636</v>
      </c>
      <c r="I167" s="59">
        <v>123581.07340000002</v>
      </c>
      <c r="J167" s="59">
        <f t="shared" si="34"/>
        <v>148297.28808000003</v>
      </c>
      <c r="K167" s="58">
        <v>14.41</v>
      </c>
      <c r="L167" s="59">
        <f t="shared" si="35"/>
        <v>104660.11820000003</v>
      </c>
      <c r="M167" s="58">
        <v>6.77</v>
      </c>
      <c r="N167" s="59">
        <f t="shared" si="36"/>
        <v>11954.872199999998</v>
      </c>
      <c r="O167" s="58">
        <v>3.02</v>
      </c>
      <c r="P167" s="59">
        <f t="shared" si="37"/>
        <v>6966.0830000000005</v>
      </c>
      <c r="Q167" s="58"/>
      <c r="R167" s="63"/>
      <c r="S167" s="59">
        <v>0</v>
      </c>
      <c r="T167" s="72">
        <f t="shared" si="39"/>
        <v>148297.28808000003</v>
      </c>
    </row>
    <row r="168" spans="1:20" hidden="1" x14ac:dyDescent="0.25">
      <c r="A168" s="62">
        <v>164</v>
      </c>
      <c r="B168" s="64" t="s">
        <v>268</v>
      </c>
      <c r="C168" s="60">
        <f t="shared" si="40"/>
        <v>35085.06</v>
      </c>
      <c r="D168" s="60">
        <v>3554.9</v>
      </c>
      <c r="E168" s="60">
        <v>11183</v>
      </c>
      <c r="F168" s="60"/>
      <c r="G168" s="60">
        <v>49822.96</v>
      </c>
      <c r="H168" s="60">
        <f t="shared" si="41"/>
        <v>59787.551999999996</v>
      </c>
      <c r="I168" s="59">
        <v>563415.04759999993</v>
      </c>
      <c r="J168" s="59">
        <f t="shared" si="34"/>
        <v>676098.0571199999</v>
      </c>
      <c r="K168" s="58">
        <v>14.41</v>
      </c>
      <c r="L168" s="59">
        <f t="shared" si="35"/>
        <v>505575.71459999995</v>
      </c>
      <c r="M168" s="58">
        <v>6.77</v>
      </c>
      <c r="N168" s="59">
        <f t="shared" si="36"/>
        <v>24066.672999999999</v>
      </c>
      <c r="O168" s="58">
        <v>3.02</v>
      </c>
      <c r="P168" s="59">
        <f t="shared" si="37"/>
        <v>33772.660000000003</v>
      </c>
      <c r="Q168" s="58"/>
      <c r="R168" s="63"/>
      <c r="S168" s="59">
        <v>0</v>
      </c>
      <c r="T168" s="72">
        <f t="shared" si="39"/>
        <v>676098.0571199999</v>
      </c>
    </row>
    <row r="169" spans="1:20" hidden="1" x14ac:dyDescent="0.25">
      <c r="A169" s="62">
        <v>165</v>
      </c>
      <c r="B169" s="64" t="s">
        <v>269</v>
      </c>
      <c r="C169" s="60">
        <f t="shared" si="40"/>
        <v>22108.259999999995</v>
      </c>
      <c r="D169" s="60">
        <v>5537.15</v>
      </c>
      <c r="E169" s="60">
        <f>1614.69+47892.74+357</f>
        <v>49864.43</v>
      </c>
      <c r="F169" s="60"/>
      <c r="G169" s="60">
        <v>77509.84</v>
      </c>
      <c r="H169" s="60">
        <f t="shared" si="41"/>
        <v>93011.80799999999</v>
      </c>
      <c r="I169" s="59">
        <v>506657.1106999999</v>
      </c>
      <c r="J169" s="59">
        <f t="shared" si="34"/>
        <v>607988.53283999988</v>
      </c>
      <c r="K169" s="58">
        <v>14.41</v>
      </c>
      <c r="L169" s="59">
        <f t="shared" si="35"/>
        <v>318580.02659999992</v>
      </c>
      <c r="M169" s="58">
        <v>6.77</v>
      </c>
      <c r="N169" s="59">
        <f t="shared" si="36"/>
        <v>37486.505499999992</v>
      </c>
      <c r="O169" s="58">
        <v>3.02</v>
      </c>
      <c r="P169" s="59">
        <f t="shared" si="37"/>
        <v>150590.57860000001</v>
      </c>
      <c r="Q169" s="58"/>
      <c r="R169" s="63"/>
      <c r="S169" s="59">
        <v>0</v>
      </c>
      <c r="T169" s="72">
        <f t="shared" si="39"/>
        <v>607988.53283999988</v>
      </c>
    </row>
    <row r="170" spans="1:20" hidden="1" x14ac:dyDescent="0.25">
      <c r="A170" s="62">
        <v>166</v>
      </c>
      <c r="B170" s="64" t="s">
        <v>270</v>
      </c>
      <c r="C170" s="60">
        <f t="shared" si="40"/>
        <v>27800.05999999999</v>
      </c>
      <c r="D170" s="60">
        <v>5518.26</v>
      </c>
      <c r="E170" s="60">
        <f>1614.69+123797.89+357</f>
        <v>125769.58</v>
      </c>
      <c r="F170" s="60"/>
      <c r="G170" s="60">
        <v>159087.9</v>
      </c>
      <c r="H170" s="60">
        <f t="shared" si="41"/>
        <v>190905.47999999998</v>
      </c>
      <c r="I170" s="59">
        <v>817781.61639999994</v>
      </c>
      <c r="J170" s="59">
        <f t="shared" si="34"/>
        <v>981337.93967999984</v>
      </c>
      <c r="K170" s="58">
        <v>14.41</v>
      </c>
      <c r="L170" s="59">
        <f t="shared" si="35"/>
        <v>400598.86459999986</v>
      </c>
      <c r="M170" s="58">
        <v>6.77</v>
      </c>
      <c r="N170" s="59">
        <f t="shared" si="36"/>
        <v>37358.620199999998</v>
      </c>
      <c r="O170" s="58">
        <v>3.02</v>
      </c>
      <c r="P170" s="59">
        <f t="shared" si="37"/>
        <v>379824.13160000002</v>
      </c>
      <c r="Q170" s="58"/>
      <c r="R170" s="63"/>
      <c r="S170" s="59">
        <v>0</v>
      </c>
      <c r="T170" s="72">
        <f t="shared" si="39"/>
        <v>981337.93967999984</v>
      </c>
    </row>
    <row r="171" spans="1:20" hidden="1" x14ac:dyDescent="0.25">
      <c r="A171" s="62">
        <v>167</v>
      </c>
      <c r="B171" s="64" t="s">
        <v>271</v>
      </c>
      <c r="C171" s="60">
        <f t="shared" si="40"/>
        <v>31633.22</v>
      </c>
      <c r="D171" s="60">
        <v>5534.47</v>
      </c>
      <c r="E171" s="60">
        <f>1614.69+170070.31+357</f>
        <v>172042</v>
      </c>
      <c r="F171" s="60"/>
      <c r="G171" s="60">
        <v>209209.69</v>
      </c>
      <c r="H171" s="60">
        <f t="shared" si="41"/>
        <v>251051.628</v>
      </c>
      <c r="I171" s="59">
        <v>1012869.9021000001</v>
      </c>
      <c r="J171" s="59">
        <f t="shared" si="34"/>
        <v>1215443.88252</v>
      </c>
      <c r="K171" s="58">
        <v>14.41</v>
      </c>
      <c r="L171" s="59">
        <f t="shared" si="35"/>
        <v>455834.70020000002</v>
      </c>
      <c r="M171" s="58">
        <v>6.77</v>
      </c>
      <c r="N171" s="59">
        <f t="shared" si="36"/>
        <v>37468.361899999996</v>
      </c>
      <c r="O171" s="58">
        <v>3.02</v>
      </c>
      <c r="P171" s="59">
        <f t="shared" si="37"/>
        <v>519566.84</v>
      </c>
      <c r="Q171" s="58"/>
      <c r="R171" s="63"/>
      <c r="S171" s="59">
        <v>0</v>
      </c>
      <c r="T171" s="72">
        <f t="shared" si="39"/>
        <v>1215443.88252</v>
      </c>
    </row>
    <row r="172" spans="1:20" hidden="1" x14ac:dyDescent="0.25">
      <c r="A172" s="62">
        <v>168</v>
      </c>
      <c r="B172" s="64" t="s">
        <v>272</v>
      </c>
      <c r="C172" s="60">
        <f t="shared" si="40"/>
        <v>32482.709999999992</v>
      </c>
      <c r="D172" s="60">
        <v>5534.47</v>
      </c>
      <c r="E172" s="60">
        <f>1614.69+180565.19+357</f>
        <v>182536.88</v>
      </c>
      <c r="F172" s="60"/>
      <c r="G172" s="60">
        <v>220554.06</v>
      </c>
      <c r="H172" s="60">
        <v>264664.88</v>
      </c>
      <c r="I172" s="59">
        <v>1056805.5906</v>
      </c>
      <c r="J172" s="59">
        <f t="shared" si="34"/>
        <v>1268166.70872</v>
      </c>
      <c r="K172" s="58">
        <v>14.41</v>
      </c>
      <c r="L172" s="59">
        <f t="shared" si="35"/>
        <v>468075.85109999991</v>
      </c>
      <c r="M172" s="58">
        <v>6.77</v>
      </c>
      <c r="N172" s="59">
        <f t="shared" si="36"/>
        <v>37468.361899999996</v>
      </c>
      <c r="O172" s="58">
        <v>3.02</v>
      </c>
      <c r="P172" s="59">
        <f t="shared" si="37"/>
        <v>551261.37760000001</v>
      </c>
      <c r="Q172" s="58"/>
      <c r="R172" s="63"/>
      <c r="S172" s="59">
        <v>0</v>
      </c>
      <c r="T172" s="72">
        <f t="shared" si="39"/>
        <v>1268166.70872</v>
      </c>
    </row>
    <row r="173" spans="1:20" hidden="1" x14ac:dyDescent="0.25">
      <c r="A173" s="62">
        <v>169</v>
      </c>
      <c r="B173" s="64" t="s">
        <v>273</v>
      </c>
      <c r="C173" s="60">
        <f t="shared" si="40"/>
        <v>34319.15</v>
      </c>
      <c r="D173" s="60">
        <v>5521.13</v>
      </c>
      <c r="E173" s="60">
        <f>1614.69+206484.49+357</f>
        <v>208456.18</v>
      </c>
      <c r="F173" s="60"/>
      <c r="G173" s="60">
        <v>248296.46</v>
      </c>
      <c r="H173" s="60">
        <f>G173*1.2</f>
        <v>297955.75199999998</v>
      </c>
      <c r="I173" s="59">
        <v>1161454.6652000002</v>
      </c>
      <c r="J173" s="59">
        <f t="shared" si="34"/>
        <v>1393745.5982400002</v>
      </c>
      <c r="K173" s="58">
        <v>14.41</v>
      </c>
      <c r="L173" s="59">
        <f t="shared" si="35"/>
        <v>494538.95150000002</v>
      </c>
      <c r="M173" s="58">
        <v>6.77</v>
      </c>
      <c r="N173" s="59">
        <f t="shared" si="36"/>
        <v>37378.0501</v>
      </c>
      <c r="O173" s="58">
        <v>3.02</v>
      </c>
      <c r="P173" s="59">
        <f t="shared" si="37"/>
        <v>629537.66359999997</v>
      </c>
      <c r="Q173" s="58"/>
      <c r="R173" s="63"/>
      <c r="S173" s="59">
        <v>0</v>
      </c>
      <c r="T173" s="72">
        <f t="shared" si="39"/>
        <v>1393745.5982400002</v>
      </c>
    </row>
    <row r="174" spans="1:20" hidden="1" x14ac:dyDescent="0.25">
      <c r="A174" s="62">
        <v>170</v>
      </c>
      <c r="B174" s="64" t="s">
        <v>274</v>
      </c>
      <c r="C174" s="60">
        <f t="shared" si="40"/>
        <v>52256.069999999978</v>
      </c>
      <c r="D174" s="60">
        <v>8703.66</v>
      </c>
      <c r="E174" s="60">
        <f>2642.22+242088.09+357</f>
        <v>245087.31</v>
      </c>
      <c r="F174" s="60"/>
      <c r="G174" s="60">
        <v>306047.03999999998</v>
      </c>
      <c r="H174" s="60">
        <f>G174*1.2</f>
        <v>367256.44799999997</v>
      </c>
      <c r="I174" s="59">
        <v>1552097.4230999998</v>
      </c>
      <c r="J174" s="59">
        <f t="shared" si="34"/>
        <v>1862516.9077199998</v>
      </c>
      <c r="K174" s="58">
        <v>14.41</v>
      </c>
      <c r="L174" s="59">
        <f t="shared" si="35"/>
        <v>753009.96869999974</v>
      </c>
      <c r="M174" s="58">
        <v>6.77</v>
      </c>
      <c r="N174" s="59">
        <f t="shared" si="36"/>
        <v>58923.778199999993</v>
      </c>
      <c r="O174" s="58">
        <v>3.02</v>
      </c>
      <c r="P174" s="59">
        <f t="shared" si="37"/>
        <v>740163.67619999999</v>
      </c>
      <c r="Q174" s="58"/>
      <c r="R174" s="63"/>
      <c r="S174" s="59">
        <v>0</v>
      </c>
      <c r="T174" s="72">
        <f t="shared" si="39"/>
        <v>1862516.9077199998</v>
      </c>
    </row>
    <row r="175" spans="1:20" hidden="1" x14ac:dyDescent="0.25">
      <c r="A175" s="62">
        <v>171</v>
      </c>
      <c r="B175" s="64" t="s">
        <v>275</v>
      </c>
      <c r="C175" s="60">
        <f t="shared" si="40"/>
        <v>56970.140000000014</v>
      </c>
      <c r="D175" s="60">
        <v>8692.94</v>
      </c>
      <c r="E175" s="60">
        <f>1614.69+339208.04+357</f>
        <v>341179.73</v>
      </c>
      <c r="F175" s="60"/>
      <c r="G175" s="60">
        <v>406842.81</v>
      </c>
      <c r="H175" s="60">
        <f>G175*1.2</f>
        <v>488211.37199999997</v>
      </c>
      <c r="I175" s="59">
        <v>1910153.7058000001</v>
      </c>
      <c r="J175" s="59">
        <f t="shared" si="34"/>
        <v>2292184.4469599999</v>
      </c>
      <c r="K175" s="58">
        <v>14.41</v>
      </c>
      <c r="L175" s="59">
        <f t="shared" si="35"/>
        <v>820939.7174000002</v>
      </c>
      <c r="M175" s="58">
        <v>6.77</v>
      </c>
      <c r="N175" s="59">
        <f t="shared" si="36"/>
        <v>58851.203800000003</v>
      </c>
      <c r="O175" s="58">
        <v>3.02</v>
      </c>
      <c r="P175" s="59">
        <f t="shared" si="37"/>
        <v>1030362.7845999999</v>
      </c>
      <c r="Q175" s="58"/>
      <c r="R175" s="63"/>
      <c r="S175" s="59">
        <v>0</v>
      </c>
      <c r="T175" s="72">
        <f t="shared" si="39"/>
        <v>2292184.4469599999</v>
      </c>
    </row>
    <row r="176" spans="1:20" hidden="1" x14ac:dyDescent="0.25">
      <c r="A176" s="62">
        <v>172</v>
      </c>
      <c r="B176" s="64" t="s">
        <v>276</v>
      </c>
      <c r="C176" s="60">
        <f t="shared" si="40"/>
        <v>58535.19</v>
      </c>
      <c r="D176" s="60">
        <v>8692.94</v>
      </c>
      <c r="E176" s="60">
        <f>1614.69+359293.22+357</f>
        <v>361264.91</v>
      </c>
      <c r="F176" s="60"/>
      <c r="G176" s="60">
        <v>428493.04</v>
      </c>
      <c r="H176" s="60">
        <f>G176*1.2</f>
        <v>514191.64799999993</v>
      </c>
      <c r="I176" s="59">
        <v>1993363.3199</v>
      </c>
      <c r="J176" s="59">
        <f t="shared" si="34"/>
        <v>2392035.9838799997</v>
      </c>
      <c r="K176" s="58">
        <v>14.41</v>
      </c>
      <c r="L176" s="59">
        <f t="shared" si="35"/>
        <v>843492.08790000004</v>
      </c>
      <c r="M176" s="58">
        <v>6.77</v>
      </c>
      <c r="N176" s="59">
        <f t="shared" si="36"/>
        <v>58851.203800000003</v>
      </c>
      <c r="O176" s="58">
        <v>3.02</v>
      </c>
      <c r="P176" s="59">
        <f t="shared" si="37"/>
        <v>1091020.0281999998</v>
      </c>
      <c r="Q176" s="58"/>
      <c r="R176" s="63"/>
      <c r="S176" s="59">
        <v>0</v>
      </c>
      <c r="T176" s="72">
        <f t="shared" si="39"/>
        <v>2392035.9838799997</v>
      </c>
    </row>
    <row r="177" spans="1:20" hidden="1" x14ac:dyDescent="0.25">
      <c r="A177" s="62">
        <v>173</v>
      </c>
      <c r="B177" s="64" t="s">
        <v>277</v>
      </c>
      <c r="C177" s="60">
        <f t="shared" si="40"/>
        <v>61578.849999999991</v>
      </c>
      <c r="D177" s="60">
        <v>8707.14</v>
      </c>
      <c r="E177" s="60">
        <f>1614.69+412344.38+357</f>
        <v>414316.07</v>
      </c>
      <c r="F177" s="60"/>
      <c r="G177" s="60">
        <v>484602.06</v>
      </c>
      <c r="H177" s="60">
        <v>581522.46</v>
      </c>
      <c r="I177" s="59">
        <v>2197533.0976999998</v>
      </c>
      <c r="J177" s="59">
        <f t="shared" si="34"/>
        <v>2637039.7172399997</v>
      </c>
      <c r="K177" s="58">
        <v>14.41</v>
      </c>
      <c r="L177" s="59">
        <f t="shared" si="35"/>
        <v>887351.22849999985</v>
      </c>
      <c r="M177" s="58">
        <v>6.77</v>
      </c>
      <c r="N177" s="59">
        <f t="shared" si="36"/>
        <v>58947.337799999994</v>
      </c>
      <c r="O177" s="58">
        <v>3.02</v>
      </c>
      <c r="P177" s="59">
        <f t="shared" si="37"/>
        <v>1251234.5314</v>
      </c>
      <c r="Q177" s="58"/>
      <c r="R177" s="63"/>
      <c r="S177" s="59">
        <v>0</v>
      </c>
      <c r="T177" s="72">
        <f t="shared" si="39"/>
        <v>2637039.7172399997</v>
      </c>
    </row>
    <row r="178" spans="1:20" hidden="1" x14ac:dyDescent="0.25">
      <c r="A178" s="62">
        <v>174</v>
      </c>
      <c r="B178" s="64" t="s">
        <v>278</v>
      </c>
      <c r="C178" s="60">
        <f t="shared" si="40"/>
        <v>78508.600000000108</v>
      </c>
      <c r="D178" s="60">
        <v>8707.14</v>
      </c>
      <c r="E178" s="60">
        <f>1614.69+629613.19+357</f>
        <v>631584.87999999989</v>
      </c>
      <c r="F178" s="60"/>
      <c r="G178" s="60">
        <v>718800.62</v>
      </c>
      <c r="H178" s="60">
        <f>G178*1.2</f>
        <v>862560.74399999995</v>
      </c>
      <c r="I178" s="59">
        <v>3097642.6014000014</v>
      </c>
      <c r="J178" s="59">
        <f t="shared" si="34"/>
        <v>3717171.1216800017</v>
      </c>
      <c r="K178" s="58">
        <v>14.41</v>
      </c>
      <c r="L178" s="59">
        <f t="shared" si="35"/>
        <v>1131308.9260000016</v>
      </c>
      <c r="M178" s="58">
        <v>6.77</v>
      </c>
      <c r="N178" s="59">
        <f t="shared" si="36"/>
        <v>58947.337799999994</v>
      </c>
      <c r="O178" s="58">
        <v>3.02</v>
      </c>
      <c r="P178" s="59">
        <f t="shared" si="37"/>
        <v>1907386.3375999997</v>
      </c>
      <c r="Q178" s="58"/>
      <c r="R178" s="63"/>
      <c r="S178" s="59">
        <v>0</v>
      </c>
      <c r="T178" s="72">
        <f t="shared" si="39"/>
        <v>3717171.1216800017</v>
      </c>
    </row>
    <row r="179" spans="1:20" hidden="1" x14ac:dyDescent="0.25">
      <c r="A179" s="62">
        <v>175</v>
      </c>
      <c r="B179" s="64" t="s">
        <v>279</v>
      </c>
      <c r="C179" s="60">
        <f t="shared" si="40"/>
        <v>96151.859999999971</v>
      </c>
      <c r="D179" s="60">
        <v>15463.05</v>
      </c>
      <c r="E179" s="60">
        <f>2306.7+501873.74+357</f>
        <v>504537.44</v>
      </c>
      <c r="F179" s="60"/>
      <c r="G179" s="60">
        <v>616152.35</v>
      </c>
      <c r="H179" s="60">
        <f>G179*1.2</f>
        <v>739382.82</v>
      </c>
      <c r="I179" s="59">
        <v>3013936.2198999999</v>
      </c>
      <c r="J179" s="59">
        <f t="shared" si="34"/>
        <v>3616723.4638799997</v>
      </c>
      <c r="K179" s="58">
        <v>14.41</v>
      </c>
      <c r="L179" s="59">
        <f t="shared" si="35"/>
        <v>1385548.3025999996</v>
      </c>
      <c r="M179" s="58">
        <v>6.77</v>
      </c>
      <c r="N179" s="59">
        <f t="shared" si="36"/>
        <v>104684.84849999999</v>
      </c>
      <c r="O179" s="58">
        <v>3.02</v>
      </c>
      <c r="P179" s="59">
        <f t="shared" si="37"/>
        <v>1523703.0688</v>
      </c>
      <c r="Q179" s="58"/>
      <c r="R179" s="63"/>
      <c r="S179" s="59">
        <v>0</v>
      </c>
      <c r="T179" s="72">
        <f t="shared" si="39"/>
        <v>3616723.4638799997</v>
      </c>
    </row>
    <row r="180" spans="1:20" hidden="1" x14ac:dyDescent="0.25">
      <c r="A180" s="62">
        <v>176</v>
      </c>
      <c r="B180" s="64" t="s">
        <v>280</v>
      </c>
      <c r="C180" s="60">
        <f t="shared" si="40"/>
        <v>108709.43999999999</v>
      </c>
      <c r="D180" s="60">
        <v>15457.05</v>
      </c>
      <c r="E180" s="60">
        <f>2306.7+666207.54+357</f>
        <v>668871.24</v>
      </c>
      <c r="F180" s="60"/>
      <c r="G180" s="60">
        <v>793037.73</v>
      </c>
      <c r="H180" s="60">
        <f>G180*1.2</f>
        <v>951645.27599999995</v>
      </c>
      <c r="I180" s="59">
        <v>3691138.4036999997</v>
      </c>
      <c r="J180" s="59">
        <f t="shared" si="34"/>
        <v>4429366.0844399994</v>
      </c>
      <c r="K180" s="58">
        <v>14.41</v>
      </c>
      <c r="L180" s="59">
        <f t="shared" si="35"/>
        <v>1566503.0303999998</v>
      </c>
      <c r="M180" s="58">
        <v>6.77</v>
      </c>
      <c r="N180" s="59">
        <f t="shared" si="36"/>
        <v>104644.22849999998</v>
      </c>
      <c r="O180" s="58">
        <v>3.02</v>
      </c>
      <c r="P180" s="59">
        <f t="shared" si="37"/>
        <v>2019991.1447999999</v>
      </c>
      <c r="Q180" s="58"/>
      <c r="R180" s="63"/>
      <c r="S180" s="59">
        <v>0</v>
      </c>
      <c r="T180" s="72">
        <f t="shared" si="39"/>
        <v>4429366.0844399994</v>
      </c>
    </row>
    <row r="181" spans="1:20" hidden="1" x14ac:dyDescent="0.25">
      <c r="A181" s="62">
        <v>177</v>
      </c>
      <c r="B181" s="64" t="s">
        <v>85</v>
      </c>
      <c r="C181" s="60">
        <f t="shared" si="40"/>
        <v>377367.85</v>
      </c>
      <c r="D181" s="60">
        <v>87527.6</v>
      </c>
      <c r="E181" s="60">
        <f>54515.34+1703963.06+2306.65</f>
        <v>1760785.05</v>
      </c>
      <c r="F181" s="60"/>
      <c r="G181" s="60">
        <v>2225680.5</v>
      </c>
      <c r="H181" s="60">
        <v>2670816.61</v>
      </c>
      <c r="I181" s="59">
        <v>11348003.421499999</v>
      </c>
      <c r="J181" s="59">
        <f t="shared" si="34"/>
        <v>13617604.105799999</v>
      </c>
      <c r="K181" s="58">
        <v>14.41</v>
      </c>
      <c r="L181" s="59">
        <f t="shared" si="35"/>
        <v>5437870.7184999995</v>
      </c>
      <c r="M181" s="58">
        <v>6.77</v>
      </c>
      <c r="N181" s="59">
        <f t="shared" si="36"/>
        <v>592561.85199999996</v>
      </c>
      <c r="O181" s="58">
        <v>3.02</v>
      </c>
      <c r="P181" s="59">
        <f t="shared" si="37"/>
        <v>5317570.8509999998</v>
      </c>
      <c r="Q181" s="58"/>
      <c r="R181" s="63"/>
      <c r="S181" s="59">
        <v>0</v>
      </c>
      <c r="T181" s="72">
        <f t="shared" si="39"/>
        <v>13617604.105799999</v>
      </c>
    </row>
    <row r="182" spans="1:20" hidden="1" x14ac:dyDescent="0.25">
      <c r="A182" s="62">
        <v>178</v>
      </c>
      <c r="B182" s="64" t="s">
        <v>281</v>
      </c>
      <c r="C182" s="60">
        <f t="shared" si="40"/>
        <v>216988.68000000002</v>
      </c>
      <c r="D182" s="60">
        <v>52450.09</v>
      </c>
      <c r="E182" s="60">
        <f>39838.56+1029835.47+1579.27</f>
        <v>1071253.3</v>
      </c>
      <c r="F182" s="60"/>
      <c r="G182" s="60">
        <v>1340692.07</v>
      </c>
      <c r="H182" s="60">
        <f>G182*1.2</f>
        <v>1608830.4839999999</v>
      </c>
      <c r="I182" s="59">
        <v>6717078.9541000007</v>
      </c>
      <c r="J182" s="59">
        <f t="shared" si="34"/>
        <v>8060494.7449200004</v>
      </c>
      <c r="K182" s="58">
        <v>14.41</v>
      </c>
      <c r="L182" s="59">
        <f t="shared" si="35"/>
        <v>3126806.8788000005</v>
      </c>
      <c r="M182" s="58">
        <v>6.77</v>
      </c>
      <c r="N182" s="59">
        <f t="shared" si="36"/>
        <v>355087.10929999995</v>
      </c>
      <c r="O182" s="58">
        <v>3.02</v>
      </c>
      <c r="P182" s="59">
        <f t="shared" si="37"/>
        <v>3235184.966</v>
      </c>
      <c r="Q182" s="58"/>
      <c r="R182" s="63"/>
      <c r="S182" s="59">
        <v>0</v>
      </c>
      <c r="T182" s="72">
        <f t="shared" si="39"/>
        <v>8060494.7449200004</v>
      </c>
    </row>
    <row r="183" spans="1:20" hidden="1" x14ac:dyDescent="0.25">
      <c r="A183" s="62">
        <v>179</v>
      </c>
      <c r="B183" s="64" t="s">
        <v>84</v>
      </c>
      <c r="C183" s="60">
        <f t="shared" si="40"/>
        <v>216601.12000000005</v>
      </c>
      <c r="D183" s="60">
        <v>48603.18</v>
      </c>
      <c r="E183" s="60">
        <f>54515.34+1153319.67+2306.65</f>
        <v>1210141.6599999999</v>
      </c>
      <c r="F183" s="60"/>
      <c r="G183" s="60">
        <v>1475345.96</v>
      </c>
      <c r="H183" s="60">
        <f>G183*1.2</f>
        <v>1770415.152</v>
      </c>
      <c r="I183" s="59">
        <v>7104893.4810000006</v>
      </c>
      <c r="J183" s="59">
        <f t="shared" si="34"/>
        <v>8525872.1772000007</v>
      </c>
      <c r="K183" s="58">
        <v>14.41</v>
      </c>
      <c r="L183" s="59">
        <f t="shared" si="35"/>
        <v>3121222.139200001</v>
      </c>
      <c r="M183" s="58">
        <v>6.77</v>
      </c>
      <c r="N183" s="59">
        <f t="shared" si="36"/>
        <v>329043.52859999996</v>
      </c>
      <c r="O183" s="58">
        <v>3.02</v>
      </c>
      <c r="P183" s="59">
        <f t="shared" si="37"/>
        <v>3654627.8131999997</v>
      </c>
      <c r="Q183" s="58"/>
      <c r="R183" s="63"/>
      <c r="S183" s="59">
        <v>0</v>
      </c>
      <c r="T183" s="72">
        <f t="shared" si="39"/>
        <v>8525872.1772000007</v>
      </c>
    </row>
    <row r="184" spans="1:20" hidden="1" x14ac:dyDescent="0.25">
      <c r="A184" s="62">
        <v>180</v>
      </c>
      <c r="B184" s="64" t="s">
        <v>282</v>
      </c>
      <c r="C184" s="60">
        <f t="shared" si="40"/>
        <v>143104.59999999998</v>
      </c>
      <c r="D184" s="60">
        <v>30095.74</v>
      </c>
      <c r="E184" s="60">
        <f>54515.34+695107.66+2306.65</f>
        <v>751929.65</v>
      </c>
      <c r="F184" s="60"/>
      <c r="G184" s="60">
        <v>925129.99</v>
      </c>
      <c r="H184" s="60">
        <v>1110155.98</v>
      </c>
      <c r="I184" s="59">
        <v>4536712.9887999995</v>
      </c>
      <c r="J184" s="59">
        <f t="shared" si="34"/>
        <v>5444055.5865599988</v>
      </c>
      <c r="K184" s="58">
        <v>14.41</v>
      </c>
      <c r="L184" s="59">
        <f t="shared" si="35"/>
        <v>2062137.2859999996</v>
      </c>
      <c r="M184" s="58">
        <v>6.77</v>
      </c>
      <c r="N184" s="59">
        <f t="shared" si="36"/>
        <v>203748.15979999999</v>
      </c>
      <c r="O184" s="58">
        <v>3.02</v>
      </c>
      <c r="P184" s="59">
        <f t="shared" si="37"/>
        <v>2270827.5430000001</v>
      </c>
      <c r="Q184" s="58"/>
      <c r="R184" s="63"/>
      <c r="S184" s="59">
        <v>0</v>
      </c>
      <c r="T184" s="72">
        <f t="shared" si="39"/>
        <v>5444055.5865599988</v>
      </c>
    </row>
    <row r="185" spans="1:20" hidden="1" x14ac:dyDescent="0.25">
      <c r="A185" s="62">
        <v>181</v>
      </c>
      <c r="B185" s="64" t="s">
        <v>283</v>
      </c>
      <c r="C185" s="60">
        <f t="shared" si="40"/>
        <v>134094.41999999998</v>
      </c>
      <c r="D185" s="60">
        <v>30027.57</v>
      </c>
      <c r="E185" s="60">
        <f>54515.34+604324.15+2306.65</f>
        <v>661146.14</v>
      </c>
      <c r="F185" s="60"/>
      <c r="G185" s="60">
        <v>825268.13</v>
      </c>
      <c r="H185" s="60">
        <f>G185*1.2</f>
        <v>990321.75599999994</v>
      </c>
      <c r="I185" s="59">
        <v>4132248.5839</v>
      </c>
      <c r="J185" s="59">
        <f t="shared" si="34"/>
        <v>4958698.3006799994</v>
      </c>
      <c r="K185" s="58">
        <v>14.41</v>
      </c>
      <c r="L185" s="59">
        <f t="shared" si="35"/>
        <v>1932300.5921999998</v>
      </c>
      <c r="M185" s="58">
        <v>6.77</v>
      </c>
      <c r="N185" s="59">
        <f t="shared" si="36"/>
        <v>203286.64889999997</v>
      </c>
      <c r="O185" s="58">
        <v>3.02</v>
      </c>
      <c r="P185" s="59">
        <f t="shared" si="37"/>
        <v>1996661.3428</v>
      </c>
      <c r="Q185" s="58"/>
      <c r="R185" s="63"/>
      <c r="S185" s="59">
        <v>0</v>
      </c>
      <c r="T185" s="72">
        <f t="shared" si="39"/>
        <v>4958698.3006799994</v>
      </c>
    </row>
    <row r="186" spans="1:20" hidden="1" x14ac:dyDescent="0.25">
      <c r="A186" s="62">
        <v>182</v>
      </c>
      <c r="B186" s="64" t="s">
        <v>284</v>
      </c>
      <c r="C186" s="60">
        <f t="shared" si="40"/>
        <v>403942.00000000006</v>
      </c>
      <c r="D186" s="60">
        <v>81496.56</v>
      </c>
      <c r="E186" s="60">
        <f>109030.68+1855667.43+4613.31</f>
        <v>1969311.42</v>
      </c>
      <c r="F186" s="60"/>
      <c r="G186" s="60">
        <v>2454749.98</v>
      </c>
      <c r="H186" s="60">
        <f>G186*1.2</f>
        <v>2945699.9759999998</v>
      </c>
      <c r="I186" s="59">
        <v>12319856.419600001</v>
      </c>
      <c r="J186" s="59">
        <f t="shared" si="34"/>
        <v>14783827.70352</v>
      </c>
      <c r="K186" s="58">
        <v>14.41</v>
      </c>
      <c r="L186" s="59">
        <f t="shared" si="35"/>
        <v>5820804.2200000007</v>
      </c>
      <c r="M186" s="58">
        <v>6.77</v>
      </c>
      <c r="N186" s="59">
        <f t="shared" si="36"/>
        <v>551731.7111999999</v>
      </c>
      <c r="O186" s="58">
        <v>3.02</v>
      </c>
      <c r="P186" s="59">
        <f t="shared" si="37"/>
        <v>5947320.4884000001</v>
      </c>
      <c r="Q186" s="58"/>
      <c r="R186" s="63"/>
      <c r="S186" s="59">
        <v>0</v>
      </c>
      <c r="T186" s="72">
        <f t="shared" si="39"/>
        <v>14783827.70352</v>
      </c>
    </row>
    <row r="187" spans="1:20" hidden="1" x14ac:dyDescent="0.25">
      <c r="A187" s="62">
        <v>183</v>
      </c>
      <c r="B187" s="64" t="s">
        <v>285</v>
      </c>
      <c r="C187" s="60">
        <f t="shared" si="40"/>
        <v>421918.15000000037</v>
      </c>
      <c r="D187" s="60">
        <v>87527.5</v>
      </c>
      <c r="E187" s="60">
        <f>54515.34+2273252.03+2306.65</f>
        <v>2330074.0199999996</v>
      </c>
      <c r="F187" s="60"/>
      <c r="G187" s="60">
        <v>2839519.67</v>
      </c>
      <c r="H187" s="60">
        <v>3407423.61</v>
      </c>
      <c r="I187" s="59">
        <v>13709225.256900005</v>
      </c>
      <c r="J187" s="59">
        <f t="shared" si="34"/>
        <v>16451070.308280006</v>
      </c>
      <c r="K187" s="58">
        <v>14.41</v>
      </c>
      <c r="L187" s="59">
        <f t="shared" si="35"/>
        <v>6079840.5415000059</v>
      </c>
      <c r="M187" s="58">
        <v>6.77</v>
      </c>
      <c r="N187" s="59">
        <f t="shared" si="36"/>
        <v>592561.17499999993</v>
      </c>
      <c r="O187" s="58">
        <v>3.02</v>
      </c>
      <c r="P187" s="59">
        <f t="shared" si="37"/>
        <v>7036823.5403999984</v>
      </c>
      <c r="Q187" s="58"/>
      <c r="R187" s="63"/>
      <c r="S187" s="59">
        <v>0</v>
      </c>
      <c r="T187" s="72">
        <f t="shared" si="39"/>
        <v>16451070.308280006</v>
      </c>
    </row>
    <row r="188" spans="1:20" x14ac:dyDescent="0.25">
      <c r="A188" s="62">
        <v>184</v>
      </c>
      <c r="B188" s="64" t="s">
        <v>286</v>
      </c>
      <c r="C188" s="60">
        <f t="shared" si="40"/>
        <v>327369.76000000013</v>
      </c>
      <c r="D188" s="60">
        <v>482072.15</v>
      </c>
      <c r="E188" s="60">
        <v>523168.2</v>
      </c>
      <c r="F188" s="60"/>
      <c r="G188" s="60">
        <v>1332610.1100000001</v>
      </c>
      <c r="H188" s="60">
        <f>G188*1.2</f>
        <v>1599132.132</v>
      </c>
      <c r="I188" s="59">
        <v>9560994.661100002</v>
      </c>
      <c r="J188" s="59">
        <f t="shared" si="34"/>
        <v>11473193.593320003</v>
      </c>
      <c r="K188" s="58">
        <v>14.41</v>
      </c>
      <c r="L188" s="59">
        <f t="shared" si="35"/>
        <v>4717398.2416000022</v>
      </c>
      <c r="M188" s="58">
        <v>6.77</v>
      </c>
      <c r="N188" s="59">
        <f t="shared" si="36"/>
        <v>3263628.4555000002</v>
      </c>
      <c r="O188" s="58">
        <v>3.02</v>
      </c>
      <c r="P188" s="59">
        <f t="shared" si="37"/>
        <v>1579967.9640000002</v>
      </c>
      <c r="Q188" s="58"/>
      <c r="R188" s="63"/>
      <c r="S188" s="59">
        <v>0</v>
      </c>
      <c r="T188" s="72">
        <f t="shared" si="39"/>
        <v>11473193.593320003</v>
      </c>
    </row>
    <row r="189" spans="1:20" hidden="1" x14ac:dyDescent="0.25">
      <c r="A189" s="62">
        <v>185</v>
      </c>
      <c r="B189" s="64" t="s">
        <v>287</v>
      </c>
      <c r="C189" s="60">
        <f>G189-D189</f>
        <v>56.929999999999993</v>
      </c>
      <c r="D189" s="60">
        <v>33.03</v>
      </c>
      <c r="E189" s="60"/>
      <c r="F189" s="60"/>
      <c r="G189" s="60">
        <v>89.96</v>
      </c>
      <c r="H189" s="60">
        <f>G189*1.2</f>
        <v>107.95199999999998</v>
      </c>
      <c r="I189" s="59">
        <v>1043.9743999999998</v>
      </c>
      <c r="J189" s="59">
        <f t="shared" si="34"/>
        <v>1252.7692799999998</v>
      </c>
      <c r="K189" s="58">
        <v>14.41</v>
      </c>
      <c r="L189" s="59">
        <f t="shared" si="35"/>
        <v>820.36129999999991</v>
      </c>
      <c r="M189" s="58">
        <v>6.77</v>
      </c>
      <c r="N189" s="59">
        <f t="shared" si="36"/>
        <v>223.6131</v>
      </c>
      <c r="O189" s="58">
        <v>3.02</v>
      </c>
      <c r="P189" s="59">
        <f t="shared" si="37"/>
        <v>0</v>
      </c>
      <c r="Q189" s="58"/>
      <c r="R189" s="63"/>
      <c r="S189" s="59">
        <v>0</v>
      </c>
      <c r="T189" s="72">
        <f t="shared" si="39"/>
        <v>1252.7692799999998</v>
      </c>
    </row>
    <row r="190" spans="1:20" hidden="1" x14ac:dyDescent="0.25">
      <c r="A190" s="62">
        <v>186</v>
      </c>
      <c r="B190" s="64" t="s">
        <v>288</v>
      </c>
      <c r="C190" s="60">
        <f>G190-D190-E190</f>
        <v>118256.65000000002</v>
      </c>
      <c r="D190" s="60">
        <v>30007.73</v>
      </c>
      <c r="E190" s="60">
        <f>54515.34+409425.74+2306.65</f>
        <v>466247.73</v>
      </c>
      <c r="F190" s="60"/>
      <c r="G190" s="60">
        <v>614512.11</v>
      </c>
      <c r="H190" s="60">
        <f>G190*1.2</f>
        <v>737414.53200000001</v>
      </c>
      <c r="I190" s="59">
        <v>3315298.8032000004</v>
      </c>
      <c r="J190" s="59">
        <f t="shared" si="34"/>
        <v>3978358.5638400004</v>
      </c>
      <c r="K190" s="58">
        <v>14.41</v>
      </c>
      <c r="L190" s="59">
        <f t="shared" si="35"/>
        <v>1704078.3265000004</v>
      </c>
      <c r="M190" s="58">
        <v>6.77</v>
      </c>
      <c r="N190" s="59">
        <f t="shared" si="36"/>
        <v>203152.33209999997</v>
      </c>
      <c r="O190" s="58">
        <v>3.02</v>
      </c>
      <c r="P190" s="59">
        <f t="shared" si="37"/>
        <v>1408068.1446</v>
      </c>
      <c r="Q190" s="58"/>
      <c r="R190" s="63"/>
      <c r="S190" s="59">
        <v>0</v>
      </c>
      <c r="T190" s="72">
        <f t="shared" si="39"/>
        <v>3978358.5638400004</v>
      </c>
    </row>
    <row r="191" spans="1:20" hidden="1" x14ac:dyDescent="0.25">
      <c r="A191" s="62">
        <v>187</v>
      </c>
      <c r="B191" s="64" t="s">
        <v>289</v>
      </c>
      <c r="C191" s="60">
        <f>G191-D191-E191</f>
        <v>125079.63</v>
      </c>
      <c r="D191" s="60">
        <v>32586.639999999999</v>
      </c>
      <c r="E191" s="60">
        <f>39838.56+577390.21+1579.27</f>
        <v>618808.04</v>
      </c>
      <c r="F191" s="60"/>
      <c r="G191" s="60">
        <v>776474.31</v>
      </c>
      <c r="H191" s="60">
        <v>931769.18</v>
      </c>
      <c r="I191" s="59">
        <v>3891809.3019000003</v>
      </c>
      <c r="J191" s="59">
        <f t="shared" si="34"/>
        <v>4670171.1622799998</v>
      </c>
      <c r="K191" s="58">
        <v>14.41</v>
      </c>
      <c r="L191" s="59">
        <f t="shared" si="35"/>
        <v>1802397.4683000001</v>
      </c>
      <c r="M191" s="58">
        <v>6.77</v>
      </c>
      <c r="N191" s="59">
        <f t="shared" si="36"/>
        <v>220611.55279999998</v>
      </c>
      <c r="O191" s="58">
        <v>3.02</v>
      </c>
      <c r="P191" s="59">
        <f t="shared" si="37"/>
        <v>1868800.2808000001</v>
      </c>
      <c r="Q191" s="58"/>
      <c r="R191" s="63"/>
      <c r="S191" s="59">
        <v>0</v>
      </c>
      <c r="T191" s="72">
        <f t="shared" si="39"/>
        <v>4670171.1622799998</v>
      </c>
    </row>
    <row r="192" spans="1:20" hidden="1" x14ac:dyDescent="0.25">
      <c r="A192" s="62">
        <v>188</v>
      </c>
      <c r="B192" s="62" t="s">
        <v>30</v>
      </c>
      <c r="C192" s="60">
        <f>G192-D192-E192-F192</f>
        <v>78533.359999999986</v>
      </c>
      <c r="D192" s="60">
        <v>24087.59</v>
      </c>
      <c r="E192" s="60">
        <v>244182.11</v>
      </c>
      <c r="F192" s="60"/>
      <c r="G192" s="60">
        <v>346803.06</v>
      </c>
      <c r="H192" s="60">
        <f>G192*1.2</f>
        <v>416163.67199999996</v>
      </c>
      <c r="I192" s="59">
        <v>2670537.2298999997</v>
      </c>
      <c r="J192" s="59">
        <f t="shared" si="34"/>
        <v>3204644.6758799995</v>
      </c>
      <c r="K192" s="58">
        <v>14.41</v>
      </c>
      <c r="L192" s="59">
        <f t="shared" si="35"/>
        <v>1131665.7175999999</v>
      </c>
      <c r="M192" s="58">
        <v>5.8</v>
      </c>
      <c r="N192" s="59">
        <f t="shared" si="36"/>
        <v>139708.022</v>
      </c>
      <c r="O192" s="58">
        <v>5.73</v>
      </c>
      <c r="P192" s="59">
        <f t="shared" si="37"/>
        <v>1399163.4902999999</v>
      </c>
      <c r="Q192" s="58"/>
      <c r="R192" s="63"/>
      <c r="S192" s="59">
        <v>0</v>
      </c>
      <c r="T192" s="72">
        <f t="shared" si="39"/>
        <v>3204644.6758799995</v>
      </c>
    </row>
    <row r="193" spans="1:20" hidden="1" x14ac:dyDescent="0.25">
      <c r="A193" s="62">
        <v>189</v>
      </c>
      <c r="B193" s="62" t="s">
        <v>31</v>
      </c>
      <c r="C193" s="60">
        <f t="shared" ref="C193:C256" si="42">G193-D193-E193-F193</f>
        <v>80501.760000000009</v>
      </c>
      <c r="D193" s="60">
        <v>23892.05</v>
      </c>
      <c r="E193" s="60">
        <v>262398.11</v>
      </c>
      <c r="F193" s="60"/>
      <c r="G193" s="60">
        <v>366791.92</v>
      </c>
      <c r="H193" s="60">
        <f t="shared" ref="H193:H256" si="43">G193*1.2</f>
        <v>440150.30399999995</v>
      </c>
      <c r="I193" s="59">
        <v>2802145.4219000004</v>
      </c>
      <c r="J193" s="59">
        <f t="shared" si="34"/>
        <v>3362574.5062800003</v>
      </c>
      <c r="K193" s="58">
        <v>14.41</v>
      </c>
      <c r="L193" s="59">
        <f t="shared" si="35"/>
        <v>1160030.3616000002</v>
      </c>
      <c r="M193" s="58">
        <v>5.8</v>
      </c>
      <c r="N193" s="59">
        <f t="shared" si="36"/>
        <v>138573.88999999998</v>
      </c>
      <c r="O193" s="58">
        <v>5.73</v>
      </c>
      <c r="P193" s="59">
        <f t="shared" si="37"/>
        <v>1503541.1703000001</v>
      </c>
      <c r="Q193" s="58"/>
      <c r="R193" s="63"/>
      <c r="S193" s="59">
        <v>0</v>
      </c>
      <c r="T193" s="72">
        <f t="shared" si="39"/>
        <v>3362574.5062800003</v>
      </c>
    </row>
    <row r="194" spans="1:20" hidden="1" x14ac:dyDescent="0.25">
      <c r="A194" s="62">
        <v>190</v>
      </c>
      <c r="B194" s="62" t="s">
        <v>32</v>
      </c>
      <c r="C194" s="60">
        <f t="shared" si="42"/>
        <v>83311.929999999993</v>
      </c>
      <c r="D194" s="60">
        <v>20989</v>
      </c>
      <c r="E194" s="60">
        <v>269239.90000000002</v>
      </c>
      <c r="F194" s="60"/>
      <c r="G194" s="60">
        <v>373540.83</v>
      </c>
      <c r="H194" s="60">
        <f t="shared" si="43"/>
        <v>448248.99599999998</v>
      </c>
      <c r="I194" s="59">
        <v>2865005.7383000003</v>
      </c>
      <c r="J194" s="59">
        <f t="shared" si="34"/>
        <v>3438006.8859600001</v>
      </c>
      <c r="K194" s="58">
        <v>14.41</v>
      </c>
      <c r="L194" s="59">
        <f t="shared" si="35"/>
        <v>1200524.9112999998</v>
      </c>
      <c r="M194" s="58">
        <v>5.8</v>
      </c>
      <c r="N194" s="59">
        <f t="shared" si="36"/>
        <v>121736.2</v>
      </c>
      <c r="O194" s="58">
        <v>5.73</v>
      </c>
      <c r="P194" s="59">
        <f t="shared" si="37"/>
        <v>1542744.6270000003</v>
      </c>
      <c r="Q194" s="58"/>
      <c r="R194" s="63"/>
      <c r="S194" s="59">
        <v>0</v>
      </c>
      <c r="T194" s="72">
        <f t="shared" si="39"/>
        <v>3438006.8859600001</v>
      </c>
    </row>
    <row r="195" spans="1:20" hidden="1" x14ac:dyDescent="0.25">
      <c r="A195" s="62">
        <v>191</v>
      </c>
      <c r="B195" s="62" t="s">
        <v>33</v>
      </c>
      <c r="C195" s="60">
        <f t="shared" si="42"/>
        <v>83322.950000000012</v>
      </c>
      <c r="D195" s="60">
        <v>23892.05</v>
      </c>
      <c r="E195" s="60">
        <v>291385.31</v>
      </c>
      <c r="F195" s="60"/>
      <c r="G195" s="60">
        <v>398600.31</v>
      </c>
      <c r="H195" s="60">
        <f t="shared" si="43"/>
        <v>478320.37199999997</v>
      </c>
      <c r="I195" s="59">
        <v>3008895.4258000003</v>
      </c>
      <c r="J195" s="59">
        <f t="shared" si="34"/>
        <v>3610674.5109600001</v>
      </c>
      <c r="K195" s="58">
        <v>14.41</v>
      </c>
      <c r="L195" s="59">
        <f t="shared" si="35"/>
        <v>1200683.7095000001</v>
      </c>
      <c r="M195" s="58">
        <v>5.8</v>
      </c>
      <c r="N195" s="59">
        <f t="shared" si="36"/>
        <v>138573.88999999998</v>
      </c>
      <c r="O195" s="58">
        <v>5.73</v>
      </c>
      <c r="P195" s="59">
        <f t="shared" si="37"/>
        <v>1669637.8263000001</v>
      </c>
      <c r="Q195" s="58"/>
      <c r="R195" s="63"/>
      <c r="S195" s="59">
        <v>0</v>
      </c>
      <c r="T195" s="72">
        <f t="shared" si="39"/>
        <v>3610674.5109600001</v>
      </c>
    </row>
    <row r="196" spans="1:20" hidden="1" x14ac:dyDescent="0.25">
      <c r="A196" s="62">
        <v>192</v>
      </c>
      <c r="B196" s="62" t="s">
        <v>290</v>
      </c>
      <c r="C196" s="60">
        <f t="shared" si="42"/>
        <v>85936.479999999981</v>
      </c>
      <c r="D196" s="60">
        <v>24070.26</v>
      </c>
      <c r="E196" s="60">
        <v>319422.11</v>
      </c>
      <c r="F196" s="60"/>
      <c r="G196" s="60">
        <v>429428.85</v>
      </c>
      <c r="H196" s="60">
        <f t="shared" si="43"/>
        <v>515314.61999999994</v>
      </c>
      <c r="I196" s="59">
        <v>3208240.8750999998</v>
      </c>
      <c r="J196" s="59">
        <f t="shared" si="34"/>
        <v>3849889.0501199998</v>
      </c>
      <c r="K196" s="58">
        <v>14.41</v>
      </c>
      <c r="L196" s="59">
        <f t="shared" si="35"/>
        <v>1238344.6767999998</v>
      </c>
      <c r="M196" s="58">
        <v>5.8</v>
      </c>
      <c r="N196" s="59">
        <f t="shared" si="36"/>
        <v>139607.50799999997</v>
      </c>
      <c r="O196" s="58">
        <v>5.73</v>
      </c>
      <c r="P196" s="59">
        <f t="shared" si="37"/>
        <v>1830288.6903000001</v>
      </c>
      <c r="Q196" s="58"/>
      <c r="R196" s="63"/>
      <c r="S196" s="59">
        <v>0</v>
      </c>
      <c r="T196" s="72">
        <f t="shared" si="39"/>
        <v>3849889.0501199998</v>
      </c>
    </row>
    <row r="197" spans="1:20" hidden="1" x14ac:dyDescent="0.25">
      <c r="A197" s="62">
        <v>193</v>
      </c>
      <c r="B197" s="62" t="s">
        <v>291</v>
      </c>
      <c r="C197" s="60">
        <f t="shared" si="42"/>
        <v>11059.590000000004</v>
      </c>
      <c r="D197" s="60">
        <v>2559.7800000000002</v>
      </c>
      <c r="E197" s="60">
        <v>40017.599999999999</v>
      </c>
      <c r="F197" s="60"/>
      <c r="G197" s="60">
        <v>53636.97</v>
      </c>
      <c r="H197" s="60">
        <f t="shared" si="43"/>
        <v>64364.364000000001</v>
      </c>
      <c r="I197" s="59">
        <v>403516.26390000002</v>
      </c>
      <c r="J197" s="59">
        <f t="shared" ref="J197:J260" si="44">T197-S197</f>
        <v>484219.51668</v>
      </c>
      <c r="K197" s="58">
        <v>14.41</v>
      </c>
      <c r="L197" s="59">
        <f t="shared" si="35"/>
        <v>159368.69190000006</v>
      </c>
      <c r="M197" s="58">
        <v>5.8</v>
      </c>
      <c r="N197" s="59">
        <f t="shared" si="36"/>
        <v>14846.724</v>
      </c>
      <c r="O197" s="58">
        <v>5.73</v>
      </c>
      <c r="P197" s="59">
        <f t="shared" si="37"/>
        <v>229300.848</v>
      </c>
      <c r="Q197" s="58"/>
      <c r="R197" s="63"/>
      <c r="S197" s="59">
        <v>0</v>
      </c>
      <c r="T197" s="72">
        <f t="shared" si="39"/>
        <v>484219.51668</v>
      </c>
    </row>
    <row r="198" spans="1:20" hidden="1" x14ac:dyDescent="0.25">
      <c r="A198" s="62">
        <v>194</v>
      </c>
      <c r="B198" s="62" t="s">
        <v>292</v>
      </c>
      <c r="C198" s="60">
        <f t="shared" si="42"/>
        <v>11351.529999999999</v>
      </c>
      <c r="D198" s="60">
        <v>2559.7800000000002</v>
      </c>
      <c r="E198" s="60">
        <v>43017.23</v>
      </c>
      <c r="F198" s="60"/>
      <c r="G198" s="60">
        <v>56928.54</v>
      </c>
      <c r="H198" s="60">
        <f t="shared" si="43"/>
        <v>68314.247999999992</v>
      </c>
      <c r="I198" s="59">
        <v>424910.99919999996</v>
      </c>
      <c r="J198" s="59">
        <f t="shared" si="44"/>
        <v>509893.19903999992</v>
      </c>
      <c r="K198" s="58">
        <v>14.41</v>
      </c>
      <c r="L198" s="59">
        <f t="shared" ref="L198:L261" si="45">C198*K198</f>
        <v>163575.54729999998</v>
      </c>
      <c r="M198" s="58">
        <v>5.8</v>
      </c>
      <c r="N198" s="59">
        <f t="shared" ref="N198:N261" si="46">D198*M198</f>
        <v>14846.724</v>
      </c>
      <c r="O198" s="58">
        <v>5.73</v>
      </c>
      <c r="P198" s="59">
        <f t="shared" ref="P198:P261" si="47">E198*O198</f>
        <v>246488.72790000003</v>
      </c>
      <c r="Q198" s="58"/>
      <c r="R198" s="63"/>
      <c r="S198" s="59">
        <v>0</v>
      </c>
      <c r="T198" s="72">
        <f t="shared" si="39"/>
        <v>509893.19903999992</v>
      </c>
    </row>
    <row r="199" spans="1:20" hidden="1" x14ac:dyDescent="0.25">
      <c r="A199" s="62">
        <v>195</v>
      </c>
      <c r="B199" s="62" t="s">
        <v>293</v>
      </c>
      <c r="C199" s="60">
        <f t="shared" si="42"/>
        <v>9165.9599999999991</v>
      </c>
      <c r="D199" s="60">
        <v>2333.86</v>
      </c>
      <c r="E199" s="60">
        <v>36625.83</v>
      </c>
      <c r="F199" s="60"/>
      <c r="G199" s="60">
        <v>48125.65</v>
      </c>
      <c r="H199" s="60">
        <f t="shared" si="43"/>
        <v>57750.78</v>
      </c>
      <c r="I199" s="59">
        <v>355483.8775</v>
      </c>
      <c r="J199" s="59">
        <f t="shared" si="44"/>
        <v>426580.65299999999</v>
      </c>
      <c r="K199" s="58">
        <v>14.41</v>
      </c>
      <c r="L199" s="59">
        <f t="shared" si="45"/>
        <v>132081.48359999998</v>
      </c>
      <c r="M199" s="58">
        <v>5.8</v>
      </c>
      <c r="N199" s="59">
        <f t="shared" si="46"/>
        <v>13536.388000000001</v>
      </c>
      <c r="O199" s="58">
        <v>5.73</v>
      </c>
      <c r="P199" s="59">
        <f t="shared" si="47"/>
        <v>209866.00590000002</v>
      </c>
      <c r="Q199" s="58"/>
      <c r="R199" s="63"/>
      <c r="S199" s="59">
        <v>0</v>
      </c>
      <c r="T199" s="72">
        <f t="shared" si="39"/>
        <v>426580.65299999999</v>
      </c>
    </row>
    <row r="200" spans="1:20" hidden="1" x14ac:dyDescent="0.25">
      <c r="A200" s="62">
        <v>196</v>
      </c>
      <c r="B200" s="62" t="s">
        <v>294</v>
      </c>
      <c r="C200" s="60">
        <f t="shared" si="42"/>
        <v>126490.5</v>
      </c>
      <c r="D200" s="60">
        <v>35963.879999999997</v>
      </c>
      <c r="E200" s="60">
        <v>387724.99</v>
      </c>
      <c r="F200" s="60"/>
      <c r="G200" s="60">
        <v>550179.37</v>
      </c>
      <c r="H200" s="60">
        <f t="shared" si="43"/>
        <v>660215.24399999995</v>
      </c>
      <c r="I200" s="59">
        <v>4252982.8016999997</v>
      </c>
      <c r="J200" s="59">
        <f t="shared" si="44"/>
        <v>5103579.3620399991</v>
      </c>
      <c r="K200" s="58">
        <v>14.41</v>
      </c>
      <c r="L200" s="59">
        <f t="shared" si="45"/>
        <v>1822728.105</v>
      </c>
      <c r="M200" s="58">
        <v>5.8</v>
      </c>
      <c r="N200" s="59">
        <f t="shared" si="46"/>
        <v>208590.50399999999</v>
      </c>
      <c r="O200" s="58">
        <v>5.73</v>
      </c>
      <c r="P200" s="59">
        <f t="shared" si="47"/>
        <v>2221664.1927</v>
      </c>
      <c r="Q200" s="58"/>
      <c r="R200" s="63"/>
      <c r="S200" s="59">
        <v>0</v>
      </c>
      <c r="T200" s="72">
        <f t="shared" si="39"/>
        <v>5103579.3620399991</v>
      </c>
    </row>
    <row r="201" spans="1:20" hidden="1" x14ac:dyDescent="0.25">
      <c r="A201" s="62">
        <v>197</v>
      </c>
      <c r="B201" s="62" t="s">
        <v>295</v>
      </c>
      <c r="C201" s="60">
        <f>G201-D201-E201-F201</f>
        <v>133329.05999999994</v>
      </c>
      <c r="D201" s="60">
        <v>35963.26</v>
      </c>
      <c r="E201" s="60">
        <v>458493.4</v>
      </c>
      <c r="F201" s="60"/>
      <c r="G201" s="60">
        <v>627785.72</v>
      </c>
      <c r="H201" s="60">
        <f t="shared" si="43"/>
        <v>753342.86399999994</v>
      </c>
      <c r="I201" s="59">
        <v>4757025.8445999995</v>
      </c>
      <c r="J201" s="59">
        <f t="shared" si="44"/>
        <v>5708431.0135199996</v>
      </c>
      <c r="K201" s="58">
        <v>14.41</v>
      </c>
      <c r="L201" s="59">
        <f t="shared" si="45"/>
        <v>1921271.7545999992</v>
      </c>
      <c r="M201" s="58">
        <v>5.8</v>
      </c>
      <c r="N201" s="59">
        <f t="shared" si="46"/>
        <v>208586.908</v>
      </c>
      <c r="O201" s="58">
        <v>5.73</v>
      </c>
      <c r="P201" s="59">
        <f t="shared" si="47"/>
        <v>2627167.1820000005</v>
      </c>
      <c r="Q201" s="58"/>
      <c r="R201" s="63"/>
      <c r="S201" s="59">
        <v>0</v>
      </c>
      <c r="T201" s="72">
        <f t="shared" si="39"/>
        <v>5708431.0135199996</v>
      </c>
    </row>
    <row r="202" spans="1:20" hidden="1" x14ac:dyDescent="0.25">
      <c r="A202" s="62">
        <v>198</v>
      </c>
      <c r="B202" s="62" t="s">
        <v>296</v>
      </c>
      <c r="C202" s="60">
        <f>G202-D202-E202-F202</f>
        <v>136050.28999999992</v>
      </c>
      <c r="D202" s="60">
        <v>35963.26</v>
      </c>
      <c r="E202" s="60">
        <v>486453.64</v>
      </c>
      <c r="F202" s="60"/>
      <c r="G202" s="60">
        <v>658467.18999999994</v>
      </c>
      <c r="H202" s="60">
        <f t="shared" si="43"/>
        <v>790160.62799999991</v>
      </c>
      <c r="I202" s="59">
        <v>4956450.944099999</v>
      </c>
      <c r="J202" s="59">
        <f t="shared" si="44"/>
        <v>5947741.1329199988</v>
      </c>
      <c r="K202" s="58">
        <v>14.41</v>
      </c>
      <c r="L202" s="59">
        <f t="shared" si="45"/>
        <v>1960484.6788999988</v>
      </c>
      <c r="M202" s="58">
        <v>5.8</v>
      </c>
      <c r="N202" s="59">
        <f t="shared" si="46"/>
        <v>208586.908</v>
      </c>
      <c r="O202" s="58">
        <v>5.73</v>
      </c>
      <c r="P202" s="59">
        <f t="shared" si="47"/>
        <v>2787379.3572000004</v>
      </c>
      <c r="Q202" s="58"/>
      <c r="R202" s="63"/>
      <c r="S202" s="59">
        <v>0</v>
      </c>
      <c r="T202" s="72">
        <f t="shared" si="39"/>
        <v>5947741.1329199988</v>
      </c>
    </row>
    <row r="203" spans="1:20" hidden="1" x14ac:dyDescent="0.25">
      <c r="A203" s="62">
        <v>199</v>
      </c>
      <c r="B203" s="62" t="s">
        <v>34</v>
      </c>
      <c r="C203" s="60">
        <f t="shared" si="42"/>
        <v>78983.500000000029</v>
      </c>
      <c r="D203" s="60">
        <v>24934.18</v>
      </c>
      <c r="E203" s="60">
        <v>224771.71</v>
      </c>
      <c r="F203" s="60"/>
      <c r="G203" s="60">
        <v>328689.39</v>
      </c>
      <c r="H203" s="60">
        <f t="shared" si="43"/>
        <v>394427.26799999998</v>
      </c>
      <c r="I203" s="59">
        <v>2570712.3773000003</v>
      </c>
      <c r="J203" s="59">
        <f t="shared" si="44"/>
        <v>3084854.8527600002</v>
      </c>
      <c r="K203" s="58">
        <v>14.41</v>
      </c>
      <c r="L203" s="59">
        <f t="shared" si="45"/>
        <v>1138152.2350000003</v>
      </c>
      <c r="M203" s="58">
        <v>5.8</v>
      </c>
      <c r="N203" s="59">
        <f t="shared" si="46"/>
        <v>144618.24400000001</v>
      </c>
      <c r="O203" s="58">
        <v>5.73</v>
      </c>
      <c r="P203" s="59">
        <f t="shared" si="47"/>
        <v>1287941.8983</v>
      </c>
      <c r="Q203" s="58"/>
      <c r="R203" s="63"/>
      <c r="S203" s="59">
        <v>0</v>
      </c>
      <c r="T203" s="72">
        <f t="shared" si="39"/>
        <v>3084854.8527600002</v>
      </c>
    </row>
    <row r="204" spans="1:20" hidden="1" x14ac:dyDescent="0.25">
      <c r="A204" s="62">
        <v>200</v>
      </c>
      <c r="B204" s="62" t="s">
        <v>35</v>
      </c>
      <c r="C204" s="60">
        <f t="shared" si="42"/>
        <v>108459.59999999998</v>
      </c>
      <c r="D204" s="60">
        <v>34476.57</v>
      </c>
      <c r="E204" s="60">
        <v>296945.09000000003</v>
      </c>
      <c r="F204" s="60"/>
      <c r="G204" s="60">
        <v>439881.26</v>
      </c>
      <c r="H204" s="60">
        <f t="shared" si="43"/>
        <v>527857.51199999999</v>
      </c>
      <c r="I204" s="59">
        <v>3464362.3076999998</v>
      </c>
      <c r="J204" s="59">
        <f t="shared" si="44"/>
        <v>4157234.7692399994</v>
      </c>
      <c r="K204" s="58">
        <v>14.41</v>
      </c>
      <c r="L204" s="59">
        <f t="shared" si="45"/>
        <v>1562902.8359999997</v>
      </c>
      <c r="M204" s="58">
        <v>5.8</v>
      </c>
      <c r="N204" s="59">
        <f t="shared" si="46"/>
        <v>199964.106</v>
      </c>
      <c r="O204" s="58">
        <v>5.73</v>
      </c>
      <c r="P204" s="59">
        <f t="shared" si="47"/>
        <v>1701495.3657000002</v>
      </c>
      <c r="Q204" s="58"/>
      <c r="R204" s="63"/>
      <c r="S204" s="59">
        <v>0</v>
      </c>
      <c r="T204" s="72">
        <f t="shared" si="39"/>
        <v>4157234.7692399994</v>
      </c>
    </row>
    <row r="205" spans="1:20" hidden="1" x14ac:dyDescent="0.25">
      <c r="A205" s="62">
        <v>201</v>
      </c>
      <c r="B205" s="62" t="s">
        <v>36</v>
      </c>
      <c r="C205" s="60">
        <f t="shared" si="42"/>
        <v>111158.47000000003</v>
      </c>
      <c r="D205" s="60">
        <v>34476.57</v>
      </c>
      <c r="E205" s="60">
        <v>324675.28999999998</v>
      </c>
      <c r="F205" s="60"/>
      <c r="G205" s="60">
        <v>470310.33</v>
      </c>
      <c r="H205" s="60">
        <f t="shared" si="43"/>
        <v>564372.39599999995</v>
      </c>
      <c r="I205" s="59">
        <v>3662147.0704000005</v>
      </c>
      <c r="J205" s="59">
        <f t="shared" si="44"/>
        <v>4394576.4844800001</v>
      </c>
      <c r="K205" s="58">
        <v>14.41</v>
      </c>
      <c r="L205" s="59">
        <f t="shared" si="45"/>
        <v>1601793.5527000003</v>
      </c>
      <c r="M205" s="58">
        <v>5.8</v>
      </c>
      <c r="N205" s="59">
        <f t="shared" si="46"/>
        <v>199964.106</v>
      </c>
      <c r="O205" s="58">
        <v>5.73</v>
      </c>
      <c r="P205" s="59">
        <f t="shared" si="47"/>
        <v>1860389.4117000001</v>
      </c>
      <c r="Q205" s="58"/>
      <c r="R205" s="63"/>
      <c r="S205" s="59">
        <v>0</v>
      </c>
      <c r="T205" s="72">
        <f t="shared" si="39"/>
        <v>4394576.4844800001</v>
      </c>
    </row>
    <row r="206" spans="1:20" hidden="1" x14ac:dyDescent="0.25">
      <c r="A206" s="62">
        <v>202</v>
      </c>
      <c r="B206" s="62" t="s">
        <v>297</v>
      </c>
      <c r="C206" s="60">
        <f t="shared" si="42"/>
        <v>107133.97</v>
      </c>
      <c r="D206" s="60">
        <v>29062.560000000001</v>
      </c>
      <c r="E206" s="60">
        <v>253936.04</v>
      </c>
      <c r="F206" s="60"/>
      <c r="G206" s="60">
        <v>390132.57</v>
      </c>
      <c r="H206" s="60">
        <f t="shared" si="43"/>
        <v>468159.08399999997</v>
      </c>
      <c r="I206" s="59">
        <v>3167416.8649000004</v>
      </c>
      <c r="J206" s="59">
        <f t="shared" si="44"/>
        <v>3800900.2378800004</v>
      </c>
      <c r="K206" s="58">
        <v>14.41</v>
      </c>
      <c r="L206" s="59">
        <f t="shared" si="45"/>
        <v>1543800.5077</v>
      </c>
      <c r="M206" s="58">
        <v>5.8</v>
      </c>
      <c r="N206" s="59">
        <f t="shared" si="46"/>
        <v>168562.848</v>
      </c>
      <c r="O206" s="58">
        <v>5.73</v>
      </c>
      <c r="P206" s="59">
        <f t="shared" si="47"/>
        <v>1455053.5092000002</v>
      </c>
      <c r="Q206" s="58"/>
      <c r="R206" s="63"/>
      <c r="S206" s="59">
        <v>0</v>
      </c>
      <c r="T206" s="72">
        <f t="shared" si="39"/>
        <v>3800900.2378800004</v>
      </c>
    </row>
    <row r="207" spans="1:20" hidden="1" x14ac:dyDescent="0.25">
      <c r="A207" s="62">
        <v>203</v>
      </c>
      <c r="B207" s="62" t="s">
        <v>298</v>
      </c>
      <c r="C207" s="60">
        <f t="shared" si="42"/>
        <v>72961.50999999998</v>
      </c>
      <c r="D207" s="60">
        <v>23554.75</v>
      </c>
      <c r="E207" s="60">
        <v>240397.96</v>
      </c>
      <c r="F207" s="60"/>
      <c r="G207" s="60">
        <v>336914.22</v>
      </c>
      <c r="H207" s="60">
        <f t="shared" si="43"/>
        <v>404297.06399999995</v>
      </c>
      <c r="I207" s="59">
        <v>2565473.2198999999</v>
      </c>
      <c r="J207" s="59">
        <f t="shared" si="44"/>
        <v>3078567.8638799996</v>
      </c>
      <c r="K207" s="58">
        <v>14.41</v>
      </c>
      <c r="L207" s="59">
        <f t="shared" si="45"/>
        <v>1051375.3590999998</v>
      </c>
      <c r="M207" s="58">
        <v>5.8</v>
      </c>
      <c r="N207" s="59">
        <f t="shared" si="46"/>
        <v>136617.54999999999</v>
      </c>
      <c r="O207" s="58">
        <v>5.73</v>
      </c>
      <c r="P207" s="59">
        <f t="shared" si="47"/>
        <v>1377480.3108000001</v>
      </c>
      <c r="Q207" s="58"/>
      <c r="R207" s="63"/>
      <c r="S207" s="59">
        <v>0</v>
      </c>
      <c r="T207" s="72">
        <f t="shared" si="39"/>
        <v>3078567.8638799996</v>
      </c>
    </row>
    <row r="208" spans="1:20" hidden="1" x14ac:dyDescent="0.25">
      <c r="A208" s="62">
        <v>204</v>
      </c>
      <c r="B208" s="62" t="s">
        <v>37</v>
      </c>
      <c r="C208" s="60">
        <f t="shared" si="42"/>
        <v>64582.789999999979</v>
      </c>
      <c r="D208" s="60">
        <v>20120.52</v>
      </c>
      <c r="E208" s="60">
        <v>227596.56</v>
      </c>
      <c r="F208" s="60"/>
      <c r="G208" s="60">
        <v>312299.87</v>
      </c>
      <c r="H208" s="60">
        <f t="shared" si="43"/>
        <v>374759.84399999998</v>
      </c>
      <c r="I208" s="59">
        <v>2351465.3086999999</v>
      </c>
      <c r="J208" s="59">
        <f t="shared" si="44"/>
        <v>2821758.3704399997</v>
      </c>
      <c r="K208" s="58">
        <v>14.41</v>
      </c>
      <c r="L208" s="59">
        <f t="shared" si="45"/>
        <v>930638.00389999966</v>
      </c>
      <c r="M208" s="58">
        <v>5.8</v>
      </c>
      <c r="N208" s="59">
        <f t="shared" si="46"/>
        <v>116699.016</v>
      </c>
      <c r="O208" s="58">
        <v>5.73</v>
      </c>
      <c r="P208" s="59">
        <f t="shared" si="47"/>
        <v>1304128.2888</v>
      </c>
      <c r="Q208" s="58"/>
      <c r="R208" s="63"/>
      <c r="S208" s="59">
        <v>0</v>
      </c>
      <c r="T208" s="72">
        <f t="shared" si="39"/>
        <v>2821758.3704399997</v>
      </c>
    </row>
    <row r="209" spans="1:20" hidden="1" x14ac:dyDescent="0.25">
      <c r="A209" s="62">
        <v>205</v>
      </c>
      <c r="B209" s="62" t="s">
        <v>38</v>
      </c>
      <c r="C209" s="60">
        <f t="shared" si="42"/>
        <v>67781.520000000019</v>
      </c>
      <c r="D209" s="60">
        <v>22520.1</v>
      </c>
      <c r="E209" s="60">
        <v>205169.13</v>
      </c>
      <c r="F209" s="60"/>
      <c r="G209" s="60">
        <v>295470.75</v>
      </c>
      <c r="H209" s="60">
        <f t="shared" si="43"/>
        <v>354564.89999999997</v>
      </c>
      <c r="I209" s="59">
        <v>2282967.3981000003</v>
      </c>
      <c r="J209" s="59">
        <f t="shared" si="44"/>
        <v>2739560.8777200002</v>
      </c>
      <c r="K209" s="58">
        <v>14.41</v>
      </c>
      <c r="L209" s="59">
        <f t="shared" si="45"/>
        <v>976731.70320000022</v>
      </c>
      <c r="M209" s="58">
        <v>5.8</v>
      </c>
      <c r="N209" s="59">
        <f t="shared" si="46"/>
        <v>130616.57999999999</v>
      </c>
      <c r="O209" s="58">
        <v>5.73</v>
      </c>
      <c r="P209" s="59">
        <f t="shared" si="47"/>
        <v>1175619.1149000002</v>
      </c>
      <c r="Q209" s="58"/>
      <c r="R209" s="63"/>
      <c r="S209" s="59">
        <v>0</v>
      </c>
      <c r="T209" s="72">
        <f t="shared" si="39"/>
        <v>2739560.8777200002</v>
      </c>
    </row>
    <row r="210" spans="1:20" hidden="1" x14ac:dyDescent="0.25">
      <c r="A210" s="62">
        <v>206</v>
      </c>
      <c r="B210" s="62" t="s">
        <v>39</v>
      </c>
      <c r="C210" s="60">
        <f t="shared" si="42"/>
        <v>49451.679999999993</v>
      </c>
      <c r="D210" s="60">
        <v>18480.48</v>
      </c>
      <c r="E210" s="60">
        <v>184122.71</v>
      </c>
      <c r="F210" s="60"/>
      <c r="G210" s="60">
        <v>252054.87</v>
      </c>
      <c r="H210" s="60">
        <f t="shared" si="43"/>
        <v>302465.84399999998</v>
      </c>
      <c r="I210" s="59">
        <v>1874808.6210999999</v>
      </c>
      <c r="J210" s="59">
        <f t="shared" si="44"/>
        <v>2249770.3453199998</v>
      </c>
      <c r="K210" s="58">
        <v>14.41</v>
      </c>
      <c r="L210" s="59">
        <f t="shared" si="45"/>
        <v>712598.70879999991</v>
      </c>
      <c r="M210" s="58">
        <v>5.8</v>
      </c>
      <c r="N210" s="59">
        <f t="shared" si="46"/>
        <v>107186.784</v>
      </c>
      <c r="O210" s="58">
        <v>5.73</v>
      </c>
      <c r="P210" s="59">
        <f t="shared" si="47"/>
        <v>1055023.1283</v>
      </c>
      <c r="Q210" s="58"/>
      <c r="R210" s="63"/>
      <c r="S210" s="59">
        <v>0</v>
      </c>
      <c r="T210" s="72">
        <f t="shared" si="39"/>
        <v>2249770.3453199998</v>
      </c>
    </row>
    <row r="211" spans="1:20" hidden="1" x14ac:dyDescent="0.25">
      <c r="A211" s="62">
        <v>207</v>
      </c>
      <c r="B211" s="62" t="s">
        <v>40</v>
      </c>
      <c r="C211" s="60">
        <f t="shared" si="42"/>
        <v>65797.689999999973</v>
      </c>
      <c r="D211" s="60">
        <v>22725.26</v>
      </c>
      <c r="E211" s="60">
        <v>183169.53</v>
      </c>
      <c r="F211" s="60"/>
      <c r="G211" s="60">
        <v>271692.48</v>
      </c>
      <c r="H211" s="60">
        <f t="shared" si="43"/>
        <v>326030.97599999997</v>
      </c>
      <c r="I211" s="59">
        <v>2129512.6277999999</v>
      </c>
      <c r="J211" s="59">
        <f t="shared" si="44"/>
        <v>2555415.1533599999</v>
      </c>
      <c r="K211" s="58">
        <v>14.41</v>
      </c>
      <c r="L211" s="59">
        <f t="shared" si="45"/>
        <v>948144.71289999958</v>
      </c>
      <c r="M211" s="58">
        <v>5.8</v>
      </c>
      <c r="N211" s="59">
        <f t="shared" si="46"/>
        <v>131806.50799999997</v>
      </c>
      <c r="O211" s="58">
        <v>5.73</v>
      </c>
      <c r="P211" s="59">
        <f t="shared" si="47"/>
        <v>1049561.4069000001</v>
      </c>
      <c r="Q211" s="58"/>
      <c r="R211" s="63"/>
      <c r="S211" s="59">
        <v>0</v>
      </c>
      <c r="T211" s="72">
        <f t="shared" si="39"/>
        <v>2555415.1533599999</v>
      </c>
    </row>
    <row r="212" spans="1:20" hidden="1" x14ac:dyDescent="0.25">
      <c r="A212" s="62">
        <v>208</v>
      </c>
      <c r="B212" s="62" t="s">
        <v>41</v>
      </c>
      <c r="C212" s="60">
        <f t="shared" si="42"/>
        <v>68234.479999999952</v>
      </c>
      <c r="D212" s="60">
        <v>22749.53</v>
      </c>
      <c r="E212" s="60">
        <v>205463.09</v>
      </c>
      <c r="F212" s="60"/>
      <c r="G212" s="60">
        <v>296447.09999999998</v>
      </c>
      <c r="H212" s="60">
        <f t="shared" si="43"/>
        <v>355736.51999999996</v>
      </c>
      <c r="I212" s="59">
        <v>2292509.6364999996</v>
      </c>
      <c r="J212" s="59">
        <f t="shared" si="44"/>
        <v>2751011.5637999992</v>
      </c>
      <c r="K212" s="58">
        <v>14.41</v>
      </c>
      <c r="L212" s="59">
        <f t="shared" si="45"/>
        <v>983258.85679999937</v>
      </c>
      <c r="M212" s="58">
        <v>5.8</v>
      </c>
      <c r="N212" s="59">
        <f t="shared" si="46"/>
        <v>131947.27399999998</v>
      </c>
      <c r="O212" s="58">
        <v>5.73</v>
      </c>
      <c r="P212" s="59">
        <f t="shared" si="47"/>
        <v>1177303.5057000001</v>
      </c>
      <c r="Q212" s="58"/>
      <c r="R212" s="63"/>
      <c r="S212" s="59">
        <v>0</v>
      </c>
      <c r="T212" s="72">
        <f t="shared" si="39"/>
        <v>2751011.5637999992</v>
      </c>
    </row>
    <row r="213" spans="1:20" hidden="1" x14ac:dyDescent="0.25">
      <c r="A213" s="62">
        <v>209</v>
      </c>
      <c r="B213" s="62" t="s">
        <v>42</v>
      </c>
      <c r="C213" s="60">
        <f t="shared" si="42"/>
        <v>72025.01999999999</v>
      </c>
      <c r="D213" s="60">
        <v>22636.76</v>
      </c>
      <c r="E213" s="60">
        <v>245406.27</v>
      </c>
      <c r="F213" s="60"/>
      <c r="G213" s="60">
        <v>340068.05</v>
      </c>
      <c r="H213" s="60">
        <f t="shared" si="43"/>
        <v>408081.66</v>
      </c>
      <c r="I213" s="59">
        <v>2575351.6732999999</v>
      </c>
      <c r="J213" s="59">
        <f t="shared" si="44"/>
        <v>3090422.0079599996</v>
      </c>
      <c r="K213" s="58">
        <v>14.41</v>
      </c>
      <c r="L213" s="59">
        <f t="shared" si="45"/>
        <v>1037880.5381999998</v>
      </c>
      <c r="M213" s="58">
        <v>5.8</v>
      </c>
      <c r="N213" s="59">
        <f t="shared" si="46"/>
        <v>131293.20799999998</v>
      </c>
      <c r="O213" s="58">
        <v>5.73</v>
      </c>
      <c r="P213" s="59">
        <f t="shared" si="47"/>
        <v>1406177.9271</v>
      </c>
      <c r="Q213" s="58"/>
      <c r="R213" s="63"/>
      <c r="S213" s="59">
        <v>0</v>
      </c>
      <c r="T213" s="72">
        <f t="shared" si="39"/>
        <v>3090422.0079599996</v>
      </c>
    </row>
    <row r="214" spans="1:20" hidden="1" x14ac:dyDescent="0.25">
      <c r="A214" s="62">
        <v>210</v>
      </c>
      <c r="B214" s="62" t="s">
        <v>299</v>
      </c>
      <c r="C214" s="60">
        <f t="shared" si="42"/>
        <v>26018.650000000009</v>
      </c>
      <c r="D214" s="60">
        <v>6111.55</v>
      </c>
      <c r="E214" s="60">
        <v>125988.14</v>
      </c>
      <c r="F214" s="60"/>
      <c r="G214" s="60">
        <v>158118.34</v>
      </c>
      <c r="H214" s="60">
        <f t="shared" si="43"/>
        <v>189742.008</v>
      </c>
      <c r="I214" s="59">
        <v>1132287.7787000001</v>
      </c>
      <c r="J214" s="59">
        <f t="shared" si="44"/>
        <v>1358745.3344400001</v>
      </c>
      <c r="K214" s="58">
        <v>14.41</v>
      </c>
      <c r="L214" s="59">
        <f t="shared" si="45"/>
        <v>374928.74650000012</v>
      </c>
      <c r="M214" s="58">
        <v>5.8</v>
      </c>
      <c r="N214" s="59">
        <f t="shared" si="46"/>
        <v>35446.99</v>
      </c>
      <c r="O214" s="58">
        <v>5.73</v>
      </c>
      <c r="P214" s="59">
        <f t="shared" si="47"/>
        <v>721912.04220000003</v>
      </c>
      <c r="Q214" s="58"/>
      <c r="R214" s="63"/>
      <c r="S214" s="59">
        <v>0</v>
      </c>
      <c r="T214" s="72">
        <f t="shared" si="39"/>
        <v>1358745.3344400001</v>
      </c>
    </row>
    <row r="215" spans="1:20" hidden="1" x14ac:dyDescent="0.25">
      <c r="A215" s="62">
        <v>211</v>
      </c>
      <c r="B215" s="62" t="s">
        <v>300</v>
      </c>
      <c r="C215" s="60">
        <f t="shared" si="42"/>
        <v>20984.460000000006</v>
      </c>
      <c r="D215" s="60">
        <v>6123.78</v>
      </c>
      <c r="E215" s="60">
        <v>72919</v>
      </c>
      <c r="F215" s="60"/>
      <c r="G215" s="60">
        <v>100027.24</v>
      </c>
      <c r="H215" s="60">
        <f t="shared" si="43"/>
        <v>120032.68799999999</v>
      </c>
      <c r="I215" s="59">
        <v>755729.86260000011</v>
      </c>
      <c r="J215" s="59">
        <f t="shared" si="44"/>
        <v>906875.83512000006</v>
      </c>
      <c r="K215" s="58">
        <v>14.41</v>
      </c>
      <c r="L215" s="59">
        <f t="shared" si="45"/>
        <v>302386.06860000012</v>
      </c>
      <c r="M215" s="58">
        <v>5.8</v>
      </c>
      <c r="N215" s="59">
        <f t="shared" si="46"/>
        <v>35517.923999999999</v>
      </c>
      <c r="O215" s="58">
        <v>5.73</v>
      </c>
      <c r="P215" s="59">
        <f t="shared" si="47"/>
        <v>417825.87000000005</v>
      </c>
      <c r="Q215" s="58"/>
      <c r="R215" s="63"/>
      <c r="S215" s="59">
        <v>0</v>
      </c>
      <c r="T215" s="72">
        <f t="shared" si="39"/>
        <v>906875.83512000006</v>
      </c>
    </row>
    <row r="216" spans="1:20" hidden="1" x14ac:dyDescent="0.25">
      <c r="A216" s="62">
        <v>212</v>
      </c>
      <c r="B216" s="62" t="s">
        <v>43</v>
      </c>
      <c r="C216" s="60">
        <f t="shared" si="42"/>
        <v>93764.590000000026</v>
      </c>
      <c r="D216" s="60">
        <v>30646.92</v>
      </c>
      <c r="E216" s="60">
        <v>167132.74</v>
      </c>
      <c r="F216" s="60"/>
      <c r="G216" s="60">
        <v>291544.25</v>
      </c>
      <c r="H216" s="60">
        <f t="shared" si="43"/>
        <v>349853.1</v>
      </c>
      <c r="I216" s="59">
        <v>2486570.4781000004</v>
      </c>
      <c r="J216" s="59">
        <f t="shared" si="44"/>
        <v>2983884.5737200002</v>
      </c>
      <c r="K216" s="58">
        <v>14.41</v>
      </c>
      <c r="L216" s="59">
        <f t="shared" si="45"/>
        <v>1351147.7419000005</v>
      </c>
      <c r="M216" s="58">
        <v>5.8</v>
      </c>
      <c r="N216" s="59">
        <f t="shared" si="46"/>
        <v>177752.136</v>
      </c>
      <c r="O216" s="58">
        <v>5.73</v>
      </c>
      <c r="P216" s="59">
        <f t="shared" si="47"/>
        <v>957670.60019999999</v>
      </c>
      <c r="Q216" s="58"/>
      <c r="R216" s="63"/>
      <c r="S216" s="59">
        <v>0</v>
      </c>
      <c r="T216" s="72">
        <f t="shared" si="39"/>
        <v>2983884.5737200002</v>
      </c>
    </row>
    <row r="217" spans="1:20" hidden="1" x14ac:dyDescent="0.25">
      <c r="A217" s="62">
        <v>213</v>
      </c>
      <c r="B217" s="62" t="s">
        <v>44</v>
      </c>
      <c r="C217" s="60">
        <f t="shared" si="42"/>
        <v>98701.550000000017</v>
      </c>
      <c r="D217" s="60">
        <v>31316.71</v>
      </c>
      <c r="E217" s="60">
        <v>229613.77</v>
      </c>
      <c r="F217" s="60"/>
      <c r="G217" s="60">
        <v>359632.03</v>
      </c>
      <c r="H217" s="60">
        <f t="shared" si="43"/>
        <v>431558.43600000005</v>
      </c>
      <c r="I217" s="59">
        <v>2919613.1556000002</v>
      </c>
      <c r="J217" s="59">
        <f t="shared" si="44"/>
        <v>3503535.7867200002</v>
      </c>
      <c r="K217" s="58">
        <v>14.41</v>
      </c>
      <c r="L217" s="59">
        <f t="shared" si="45"/>
        <v>1422289.3355000003</v>
      </c>
      <c r="M217" s="58">
        <v>5.8</v>
      </c>
      <c r="N217" s="59">
        <f t="shared" si="46"/>
        <v>181636.91799999998</v>
      </c>
      <c r="O217" s="58">
        <v>5.73</v>
      </c>
      <c r="P217" s="59">
        <f t="shared" si="47"/>
        <v>1315686.9021000001</v>
      </c>
      <c r="Q217" s="58"/>
      <c r="R217" s="63"/>
      <c r="S217" s="59">
        <v>0</v>
      </c>
      <c r="T217" s="72">
        <f t="shared" si="39"/>
        <v>3503535.7867200002</v>
      </c>
    </row>
    <row r="218" spans="1:20" hidden="1" x14ac:dyDescent="0.25">
      <c r="A218" s="62">
        <v>214</v>
      </c>
      <c r="B218" s="62" t="s">
        <v>301</v>
      </c>
      <c r="C218" s="60">
        <f t="shared" si="42"/>
        <v>99494.409999999974</v>
      </c>
      <c r="D218" s="60">
        <v>31388.59</v>
      </c>
      <c r="E218" s="60">
        <v>237528.19</v>
      </c>
      <c r="F218" s="60"/>
      <c r="G218" s="60">
        <v>368411.19</v>
      </c>
      <c r="H218" s="60">
        <f t="shared" si="43"/>
        <v>442093.42800000001</v>
      </c>
      <c r="I218" s="59">
        <v>2976804.7988</v>
      </c>
      <c r="J218" s="59">
        <f t="shared" si="44"/>
        <v>3572165.75856</v>
      </c>
      <c r="K218" s="58">
        <v>14.41</v>
      </c>
      <c r="L218" s="59">
        <f t="shared" si="45"/>
        <v>1433714.4480999997</v>
      </c>
      <c r="M218" s="58">
        <v>5.8</v>
      </c>
      <c r="N218" s="59">
        <f t="shared" si="46"/>
        <v>182053.82199999999</v>
      </c>
      <c r="O218" s="58">
        <v>5.73</v>
      </c>
      <c r="P218" s="59">
        <f t="shared" si="47"/>
        <v>1361036.5287000001</v>
      </c>
      <c r="Q218" s="58"/>
      <c r="R218" s="63"/>
      <c r="S218" s="59">
        <v>0</v>
      </c>
      <c r="T218" s="72">
        <f t="shared" si="39"/>
        <v>3572165.75856</v>
      </c>
    </row>
    <row r="219" spans="1:20" hidden="1" x14ac:dyDescent="0.25">
      <c r="A219" s="62">
        <v>215</v>
      </c>
      <c r="B219" s="62" t="s">
        <v>302</v>
      </c>
      <c r="C219" s="60">
        <f t="shared" si="42"/>
        <v>4083.67</v>
      </c>
      <c r="D219" s="60">
        <v>120.8</v>
      </c>
      <c r="E219" s="60">
        <v>10261.1</v>
      </c>
      <c r="F219" s="60"/>
      <c r="G219" s="60">
        <v>14465.57</v>
      </c>
      <c r="H219" s="60">
        <f t="shared" si="43"/>
        <v>17358.683999999997</v>
      </c>
      <c r="I219" s="59">
        <v>118342.42770000001</v>
      </c>
      <c r="J219" s="59">
        <f t="shared" si="44"/>
        <v>142010.91324000002</v>
      </c>
      <c r="K219" s="58">
        <v>14.41</v>
      </c>
      <c r="L219" s="59">
        <f t="shared" si="45"/>
        <v>58845.684700000005</v>
      </c>
      <c r="M219" s="58">
        <v>5.8</v>
      </c>
      <c r="N219" s="59">
        <f t="shared" si="46"/>
        <v>700.64</v>
      </c>
      <c r="O219" s="58">
        <v>5.73</v>
      </c>
      <c r="P219" s="59">
        <f t="shared" si="47"/>
        <v>58796.10300000001</v>
      </c>
      <c r="Q219" s="58"/>
      <c r="R219" s="63"/>
      <c r="S219" s="59">
        <v>0</v>
      </c>
      <c r="T219" s="72">
        <f t="shared" si="39"/>
        <v>142010.91324000002</v>
      </c>
    </row>
    <row r="220" spans="1:20" hidden="1" x14ac:dyDescent="0.25">
      <c r="A220" s="62">
        <v>216</v>
      </c>
      <c r="B220" s="62" t="s">
        <v>303</v>
      </c>
      <c r="C220" s="60">
        <f t="shared" si="42"/>
        <v>71397.900000000023</v>
      </c>
      <c r="D220" s="60">
        <v>11855.69</v>
      </c>
      <c r="E220" s="60">
        <v>290678.74</v>
      </c>
      <c r="F220" s="60"/>
      <c r="G220" s="60">
        <v>373932.33</v>
      </c>
      <c r="H220" s="60">
        <f t="shared" si="43"/>
        <v>448718.79600000003</v>
      </c>
      <c r="I220" s="59">
        <v>2763195.9212000007</v>
      </c>
      <c r="J220" s="59">
        <f t="shared" si="44"/>
        <v>3315835.1054400005</v>
      </c>
      <c r="K220" s="58">
        <v>14.41</v>
      </c>
      <c r="L220" s="59">
        <f t="shared" si="45"/>
        <v>1028843.7390000003</v>
      </c>
      <c r="M220" s="58">
        <v>5.8</v>
      </c>
      <c r="N220" s="59">
        <f t="shared" si="46"/>
        <v>68763.002000000008</v>
      </c>
      <c r="O220" s="58">
        <v>5.73</v>
      </c>
      <c r="P220" s="59">
        <f t="shared" si="47"/>
        <v>1665589.1802000001</v>
      </c>
      <c r="Q220" s="58"/>
      <c r="R220" s="63"/>
      <c r="S220" s="59">
        <v>0</v>
      </c>
      <c r="T220" s="72">
        <f t="shared" si="39"/>
        <v>3315835.1054400005</v>
      </c>
    </row>
    <row r="221" spans="1:20" hidden="1" x14ac:dyDescent="0.25">
      <c r="A221" s="62">
        <v>217</v>
      </c>
      <c r="B221" s="62" t="s">
        <v>304</v>
      </c>
      <c r="C221" s="60">
        <f t="shared" si="42"/>
        <v>46615.619999999995</v>
      </c>
      <c r="D221" s="60">
        <v>9944.01</v>
      </c>
      <c r="E221" s="60">
        <v>170324.36</v>
      </c>
      <c r="F221" s="60"/>
      <c r="G221" s="60">
        <v>226883.99</v>
      </c>
      <c r="H221" s="60">
        <f t="shared" si="43"/>
        <v>272260.788</v>
      </c>
      <c r="I221" s="59">
        <v>1705364.9249999998</v>
      </c>
      <c r="J221" s="59">
        <f t="shared" si="44"/>
        <v>2046437.9099999997</v>
      </c>
      <c r="K221" s="58">
        <v>14.41</v>
      </c>
      <c r="L221" s="59">
        <f t="shared" si="45"/>
        <v>671731.08419999992</v>
      </c>
      <c r="M221" s="58">
        <v>5.8</v>
      </c>
      <c r="N221" s="59">
        <f t="shared" si="46"/>
        <v>57675.258000000002</v>
      </c>
      <c r="O221" s="58">
        <v>5.73</v>
      </c>
      <c r="P221" s="59">
        <f t="shared" si="47"/>
        <v>975958.58279999997</v>
      </c>
      <c r="Q221" s="58"/>
      <c r="R221" s="63"/>
      <c r="S221" s="59">
        <v>0</v>
      </c>
      <c r="T221" s="72">
        <f t="shared" si="39"/>
        <v>2046437.9099999997</v>
      </c>
    </row>
    <row r="222" spans="1:20" hidden="1" x14ac:dyDescent="0.25">
      <c r="A222" s="62">
        <v>218</v>
      </c>
      <c r="B222" s="62" t="s">
        <v>305</v>
      </c>
      <c r="C222" s="60">
        <f t="shared" si="42"/>
        <v>45526.119999999995</v>
      </c>
      <c r="D222" s="60">
        <v>8633.2199999999993</v>
      </c>
      <c r="E222" s="60">
        <v>172109.56</v>
      </c>
      <c r="F222" s="60"/>
      <c r="G222" s="60">
        <v>226268.9</v>
      </c>
      <c r="H222" s="60">
        <f t="shared" si="43"/>
        <v>271522.68</v>
      </c>
      <c r="I222" s="59">
        <v>1692291.844</v>
      </c>
      <c r="J222" s="59">
        <f t="shared" si="44"/>
        <v>2030750.2127999999</v>
      </c>
      <c r="K222" s="58">
        <v>14.41</v>
      </c>
      <c r="L222" s="59">
        <f t="shared" si="45"/>
        <v>656031.38919999998</v>
      </c>
      <c r="M222" s="58">
        <v>5.8</v>
      </c>
      <c r="N222" s="59">
        <f t="shared" si="46"/>
        <v>50072.675999999992</v>
      </c>
      <c r="O222" s="58">
        <v>5.73</v>
      </c>
      <c r="P222" s="59">
        <f t="shared" si="47"/>
        <v>986187.77880000009</v>
      </c>
      <c r="Q222" s="58"/>
      <c r="R222" s="63"/>
      <c r="S222" s="59">
        <v>0</v>
      </c>
      <c r="T222" s="72">
        <f t="shared" ref="T222:T283" si="48">I222*1.2</f>
        <v>2030750.2127999999</v>
      </c>
    </row>
    <row r="223" spans="1:20" hidden="1" x14ac:dyDescent="0.25">
      <c r="A223" s="62">
        <v>219</v>
      </c>
      <c r="B223" s="62" t="s">
        <v>306</v>
      </c>
      <c r="C223" s="60">
        <f t="shared" si="42"/>
        <v>585.91</v>
      </c>
      <c r="D223" s="60">
        <v>155.19999999999999</v>
      </c>
      <c r="E223" s="60">
        <v>928.08</v>
      </c>
      <c r="F223" s="60"/>
      <c r="G223" s="60">
        <v>1669.19</v>
      </c>
      <c r="H223" s="60">
        <f t="shared" si="43"/>
        <v>2003.028</v>
      </c>
      <c r="I223" s="59">
        <v>14661.021499999999</v>
      </c>
      <c r="J223" s="59">
        <f t="shared" si="44"/>
        <v>17593.225799999997</v>
      </c>
      <c r="K223" s="58">
        <v>14.41</v>
      </c>
      <c r="L223" s="59">
        <f t="shared" si="45"/>
        <v>8442.963099999999</v>
      </c>
      <c r="M223" s="58">
        <v>5.8</v>
      </c>
      <c r="N223" s="59">
        <f t="shared" si="46"/>
        <v>900.15999999999985</v>
      </c>
      <c r="O223" s="58">
        <v>5.73</v>
      </c>
      <c r="P223" s="59">
        <f t="shared" si="47"/>
        <v>5317.8984000000009</v>
      </c>
      <c r="Q223" s="58"/>
      <c r="R223" s="63"/>
      <c r="S223" s="59">
        <v>0</v>
      </c>
      <c r="T223" s="72">
        <f t="shared" si="48"/>
        <v>17593.225799999997</v>
      </c>
    </row>
    <row r="224" spans="1:20" hidden="1" x14ac:dyDescent="0.25">
      <c r="A224" s="62">
        <v>220</v>
      </c>
      <c r="B224" s="62" t="s">
        <v>307</v>
      </c>
      <c r="C224" s="60">
        <f t="shared" si="42"/>
        <v>358.22</v>
      </c>
      <c r="D224" s="60">
        <v>84.81</v>
      </c>
      <c r="E224" s="60">
        <v>632.28</v>
      </c>
      <c r="F224" s="60"/>
      <c r="G224" s="60">
        <v>1075.31</v>
      </c>
      <c r="H224" s="60">
        <f t="shared" si="43"/>
        <v>1290.3719999999998</v>
      </c>
      <c r="I224" s="59">
        <v>9276.8126000000011</v>
      </c>
      <c r="J224" s="59">
        <f t="shared" si="44"/>
        <v>11132.175120000002</v>
      </c>
      <c r="K224" s="58">
        <v>14.41</v>
      </c>
      <c r="L224" s="59">
        <f t="shared" si="45"/>
        <v>5161.9502000000002</v>
      </c>
      <c r="M224" s="58">
        <v>5.8</v>
      </c>
      <c r="N224" s="59">
        <f t="shared" si="46"/>
        <v>491.89800000000002</v>
      </c>
      <c r="O224" s="58">
        <v>5.73</v>
      </c>
      <c r="P224" s="59">
        <f t="shared" si="47"/>
        <v>3622.9644000000003</v>
      </c>
      <c r="Q224" s="58"/>
      <c r="R224" s="63"/>
      <c r="S224" s="59">
        <v>0</v>
      </c>
      <c r="T224" s="72">
        <f t="shared" si="48"/>
        <v>11132.175120000002</v>
      </c>
    </row>
    <row r="225" spans="1:20" hidden="1" x14ac:dyDescent="0.25">
      <c r="A225" s="62">
        <v>221</v>
      </c>
      <c r="B225" s="62" t="s">
        <v>308</v>
      </c>
      <c r="C225" s="60">
        <f t="shared" si="42"/>
        <v>617.66999999999985</v>
      </c>
      <c r="D225" s="60">
        <v>155.19999999999999</v>
      </c>
      <c r="E225" s="60">
        <v>1174.68</v>
      </c>
      <c r="F225" s="60"/>
      <c r="G225" s="60">
        <v>1947.55</v>
      </c>
      <c r="H225" s="60">
        <f t="shared" si="43"/>
        <v>2337.06</v>
      </c>
      <c r="I225" s="59">
        <v>16531.701099999998</v>
      </c>
      <c r="J225" s="59">
        <f t="shared" si="44"/>
        <v>19838.041319999997</v>
      </c>
      <c r="K225" s="58">
        <v>14.41</v>
      </c>
      <c r="L225" s="59">
        <f t="shared" si="45"/>
        <v>8900.6246999999985</v>
      </c>
      <c r="M225" s="58">
        <v>5.8</v>
      </c>
      <c r="N225" s="59">
        <f t="shared" si="46"/>
        <v>900.15999999999985</v>
      </c>
      <c r="O225" s="58">
        <v>5.73</v>
      </c>
      <c r="P225" s="59">
        <f t="shared" si="47"/>
        <v>6730.916400000001</v>
      </c>
      <c r="Q225" s="58"/>
      <c r="R225" s="63"/>
      <c r="S225" s="59">
        <v>0</v>
      </c>
      <c r="T225" s="72">
        <f t="shared" si="48"/>
        <v>19838.041319999997</v>
      </c>
    </row>
    <row r="226" spans="1:20" hidden="1" x14ac:dyDescent="0.25">
      <c r="A226" s="62">
        <v>222</v>
      </c>
      <c r="B226" s="62" t="s">
        <v>45</v>
      </c>
      <c r="C226" s="60">
        <f t="shared" si="42"/>
        <v>99874.149999999965</v>
      </c>
      <c r="D226" s="60">
        <v>31388.59</v>
      </c>
      <c r="E226" s="60">
        <v>246558.64</v>
      </c>
      <c r="F226" s="60"/>
      <c r="G226" s="60">
        <v>377821.38</v>
      </c>
      <c r="H226" s="60">
        <f t="shared" si="43"/>
        <v>453385.65600000002</v>
      </c>
      <c r="I226" s="59">
        <v>3034021.3306999998</v>
      </c>
      <c r="J226" s="59">
        <f t="shared" si="44"/>
        <v>3640825.5968399998</v>
      </c>
      <c r="K226" s="58">
        <v>14.41</v>
      </c>
      <c r="L226" s="59">
        <f t="shared" si="45"/>
        <v>1439186.5014999995</v>
      </c>
      <c r="M226" s="58">
        <v>5.8</v>
      </c>
      <c r="N226" s="59">
        <f t="shared" si="46"/>
        <v>182053.82199999999</v>
      </c>
      <c r="O226" s="58">
        <v>5.73</v>
      </c>
      <c r="P226" s="59">
        <f t="shared" si="47"/>
        <v>1412781.0072000001</v>
      </c>
      <c r="Q226" s="58"/>
      <c r="R226" s="63"/>
      <c r="S226" s="59">
        <v>0</v>
      </c>
      <c r="T226" s="72">
        <f t="shared" si="48"/>
        <v>3640825.5968399998</v>
      </c>
    </row>
    <row r="227" spans="1:20" hidden="1" x14ac:dyDescent="0.25">
      <c r="A227" s="62">
        <v>223</v>
      </c>
      <c r="B227" s="62" t="s">
        <v>46</v>
      </c>
      <c r="C227" s="60">
        <f t="shared" si="42"/>
        <v>96986.179999999964</v>
      </c>
      <c r="D227" s="60">
        <v>31388.27</v>
      </c>
      <c r="E227" s="60">
        <v>217053.41</v>
      </c>
      <c r="F227" s="60"/>
      <c r="G227" s="60">
        <v>345427.86</v>
      </c>
      <c r="H227" s="60">
        <f t="shared" si="43"/>
        <v>414513.43199999997</v>
      </c>
      <c r="I227" s="59">
        <v>2823338.8590999995</v>
      </c>
      <c r="J227" s="59">
        <f t="shared" si="44"/>
        <v>3388006.6309199994</v>
      </c>
      <c r="K227" s="58">
        <v>14.41</v>
      </c>
      <c r="L227" s="59">
        <f t="shared" si="45"/>
        <v>1397570.8537999995</v>
      </c>
      <c r="M227" s="58">
        <v>5.8</v>
      </c>
      <c r="N227" s="59">
        <f t="shared" si="46"/>
        <v>182051.96599999999</v>
      </c>
      <c r="O227" s="58">
        <v>5.73</v>
      </c>
      <c r="P227" s="59">
        <f t="shared" si="47"/>
        <v>1243716.0393000001</v>
      </c>
      <c r="Q227" s="58"/>
      <c r="R227" s="63"/>
      <c r="S227" s="59">
        <v>0</v>
      </c>
      <c r="T227" s="72">
        <f t="shared" si="48"/>
        <v>3388006.6309199994</v>
      </c>
    </row>
    <row r="228" spans="1:20" hidden="1" x14ac:dyDescent="0.25">
      <c r="A228" s="62">
        <v>224</v>
      </c>
      <c r="B228" s="62" t="s">
        <v>47</v>
      </c>
      <c r="C228" s="60">
        <f t="shared" si="42"/>
        <v>98089.38</v>
      </c>
      <c r="D228" s="60">
        <v>32009.39</v>
      </c>
      <c r="E228" s="60">
        <v>212517.19</v>
      </c>
      <c r="F228" s="60"/>
      <c r="G228" s="60">
        <v>342615.96</v>
      </c>
      <c r="H228" s="60">
        <f t="shared" si="43"/>
        <v>411139.152</v>
      </c>
      <c r="I228" s="59">
        <v>2816845.9265000001</v>
      </c>
      <c r="J228" s="59">
        <f t="shared" si="44"/>
        <v>3380215.1118000001</v>
      </c>
      <c r="K228" s="58">
        <v>14.41</v>
      </c>
      <c r="L228" s="59">
        <f t="shared" si="45"/>
        <v>1413467.9658000001</v>
      </c>
      <c r="M228" s="58">
        <v>5.8</v>
      </c>
      <c r="N228" s="59">
        <f t="shared" si="46"/>
        <v>185654.462</v>
      </c>
      <c r="O228" s="58">
        <v>5.73</v>
      </c>
      <c r="P228" s="59">
        <f t="shared" si="47"/>
        <v>1217723.4987000001</v>
      </c>
      <c r="Q228" s="58"/>
      <c r="R228" s="63"/>
      <c r="S228" s="59">
        <v>0</v>
      </c>
      <c r="T228" s="72">
        <f t="shared" si="48"/>
        <v>3380215.1118000001</v>
      </c>
    </row>
    <row r="229" spans="1:20" hidden="1" x14ac:dyDescent="0.25">
      <c r="A229" s="62">
        <v>225</v>
      </c>
      <c r="B229" s="62" t="s">
        <v>48</v>
      </c>
      <c r="C229" s="60">
        <f t="shared" si="42"/>
        <v>95438.129999999946</v>
      </c>
      <c r="D229" s="60">
        <v>31388.59</v>
      </c>
      <c r="E229" s="60">
        <v>201069.69</v>
      </c>
      <c r="F229" s="60"/>
      <c r="G229" s="60">
        <v>327896.40999999997</v>
      </c>
      <c r="H229" s="60">
        <f t="shared" si="43"/>
        <v>393475.69199999998</v>
      </c>
      <c r="I229" s="59">
        <v>2709446.5989999995</v>
      </c>
      <c r="J229" s="59">
        <f t="shared" si="44"/>
        <v>3251335.9187999992</v>
      </c>
      <c r="K229" s="58">
        <v>14.41</v>
      </c>
      <c r="L229" s="59">
        <f t="shared" si="45"/>
        <v>1375263.4532999992</v>
      </c>
      <c r="M229" s="58">
        <v>5.8</v>
      </c>
      <c r="N229" s="59">
        <f t="shared" si="46"/>
        <v>182053.82199999999</v>
      </c>
      <c r="O229" s="58">
        <v>5.73</v>
      </c>
      <c r="P229" s="59">
        <f t="shared" si="47"/>
        <v>1152129.3237000001</v>
      </c>
      <c r="Q229" s="58"/>
      <c r="R229" s="63"/>
      <c r="S229" s="59">
        <v>0</v>
      </c>
      <c r="T229" s="72">
        <f t="shared" si="48"/>
        <v>3251335.9187999992</v>
      </c>
    </row>
    <row r="230" spans="1:20" hidden="1" x14ac:dyDescent="0.25">
      <c r="A230" s="62">
        <v>226</v>
      </c>
      <c r="B230" s="62" t="s">
        <v>49</v>
      </c>
      <c r="C230" s="60">
        <f t="shared" si="42"/>
        <v>94406.720000000001</v>
      </c>
      <c r="D230" s="60">
        <v>31388.27</v>
      </c>
      <c r="E230" s="60">
        <v>185962.91</v>
      </c>
      <c r="F230" s="60"/>
      <c r="G230" s="60">
        <v>311757.90000000002</v>
      </c>
      <c r="H230" s="60">
        <f t="shared" si="43"/>
        <v>374109.48000000004</v>
      </c>
      <c r="I230" s="59">
        <v>2608020.2755000005</v>
      </c>
      <c r="J230" s="59">
        <f t="shared" si="44"/>
        <v>3129624.3306000005</v>
      </c>
      <c r="K230" s="58">
        <v>14.41</v>
      </c>
      <c r="L230" s="59">
        <f t="shared" si="45"/>
        <v>1360400.8352000001</v>
      </c>
      <c r="M230" s="58">
        <v>5.8</v>
      </c>
      <c r="N230" s="59">
        <f t="shared" si="46"/>
        <v>182051.96599999999</v>
      </c>
      <c r="O230" s="58">
        <v>5.73</v>
      </c>
      <c r="P230" s="59">
        <f t="shared" si="47"/>
        <v>1065567.4743000001</v>
      </c>
      <c r="Q230" s="58"/>
      <c r="R230" s="63"/>
      <c r="S230" s="59">
        <v>0</v>
      </c>
      <c r="T230" s="72">
        <f t="shared" si="48"/>
        <v>3129624.3306000005</v>
      </c>
    </row>
    <row r="231" spans="1:20" hidden="1" x14ac:dyDescent="0.25">
      <c r="A231" s="62">
        <v>227</v>
      </c>
      <c r="B231" s="62" t="s">
        <v>50</v>
      </c>
      <c r="C231" s="60">
        <f t="shared" si="42"/>
        <v>94846.9</v>
      </c>
      <c r="D231" s="60">
        <v>31388.27</v>
      </c>
      <c r="E231" s="60">
        <v>195213.41</v>
      </c>
      <c r="F231" s="60"/>
      <c r="G231" s="60">
        <v>321448.58</v>
      </c>
      <c r="H231" s="60">
        <f t="shared" si="43"/>
        <v>385738.29600000003</v>
      </c>
      <c r="I231" s="59">
        <v>2667368.6343</v>
      </c>
      <c r="J231" s="59">
        <f t="shared" si="44"/>
        <v>3200842.3611599999</v>
      </c>
      <c r="K231" s="58">
        <v>14.41</v>
      </c>
      <c r="L231" s="59">
        <f t="shared" si="45"/>
        <v>1366743.8289999999</v>
      </c>
      <c r="M231" s="58">
        <v>5.8</v>
      </c>
      <c r="N231" s="59">
        <f t="shared" si="46"/>
        <v>182051.96599999999</v>
      </c>
      <c r="O231" s="58">
        <v>5.73</v>
      </c>
      <c r="P231" s="59">
        <f t="shared" si="47"/>
        <v>1118572.8393000001</v>
      </c>
      <c r="Q231" s="58"/>
      <c r="R231" s="63"/>
      <c r="S231" s="59">
        <v>0</v>
      </c>
      <c r="T231" s="72">
        <f t="shared" si="48"/>
        <v>3200842.3611599999</v>
      </c>
    </row>
    <row r="232" spans="1:20" hidden="1" x14ac:dyDescent="0.25">
      <c r="A232" s="62">
        <v>228</v>
      </c>
      <c r="B232" s="62" t="s">
        <v>51</v>
      </c>
      <c r="C232" s="60">
        <f t="shared" si="42"/>
        <v>93816.049999999959</v>
      </c>
      <c r="D232" s="60">
        <v>31388.27</v>
      </c>
      <c r="E232" s="60">
        <v>179893.91</v>
      </c>
      <c r="F232" s="60"/>
      <c r="G232" s="60">
        <v>305098.23</v>
      </c>
      <c r="H232" s="60">
        <f t="shared" si="43"/>
        <v>366117.87599999999</v>
      </c>
      <c r="I232" s="59">
        <v>2564733.3507999997</v>
      </c>
      <c r="J232" s="59">
        <f t="shared" si="44"/>
        <v>3077680.0209599994</v>
      </c>
      <c r="K232" s="58">
        <v>14.41</v>
      </c>
      <c r="L232" s="59">
        <f t="shared" si="45"/>
        <v>1351889.2804999994</v>
      </c>
      <c r="M232" s="58">
        <v>5.8</v>
      </c>
      <c r="N232" s="59">
        <f t="shared" si="46"/>
        <v>182051.96599999999</v>
      </c>
      <c r="O232" s="58">
        <v>5.73</v>
      </c>
      <c r="P232" s="59">
        <f t="shared" si="47"/>
        <v>1030792.1043000001</v>
      </c>
      <c r="Q232" s="58"/>
      <c r="R232" s="63"/>
      <c r="S232" s="59">
        <v>0</v>
      </c>
      <c r="T232" s="72">
        <f t="shared" si="48"/>
        <v>3077680.0209599994</v>
      </c>
    </row>
    <row r="233" spans="1:20" hidden="1" x14ac:dyDescent="0.25">
      <c r="A233" s="62">
        <v>229</v>
      </c>
      <c r="B233" s="62" t="s">
        <v>52</v>
      </c>
      <c r="C233" s="60">
        <f t="shared" si="42"/>
        <v>100970.63999999998</v>
      </c>
      <c r="D233" s="60">
        <v>31388.27</v>
      </c>
      <c r="E233" s="60">
        <v>257992.91</v>
      </c>
      <c r="F233" s="60"/>
      <c r="G233" s="60">
        <v>390351.82</v>
      </c>
      <c r="H233" s="60">
        <f t="shared" si="43"/>
        <v>468422.18400000001</v>
      </c>
      <c r="I233" s="59">
        <v>3115338.2626999998</v>
      </c>
      <c r="J233" s="59">
        <f t="shared" si="44"/>
        <v>3738405.9152399995</v>
      </c>
      <c r="K233" s="58">
        <v>14.41</v>
      </c>
      <c r="L233" s="59">
        <f t="shared" si="45"/>
        <v>1454986.9223999998</v>
      </c>
      <c r="M233" s="58">
        <v>5.8</v>
      </c>
      <c r="N233" s="59">
        <f t="shared" si="46"/>
        <v>182051.96599999999</v>
      </c>
      <c r="O233" s="58">
        <v>5.73</v>
      </c>
      <c r="P233" s="59">
        <f t="shared" si="47"/>
        <v>1478299.3743</v>
      </c>
      <c r="Q233" s="58"/>
      <c r="R233" s="63"/>
      <c r="S233" s="59">
        <v>0</v>
      </c>
      <c r="T233" s="72">
        <f t="shared" si="48"/>
        <v>3738405.9152399995</v>
      </c>
    </row>
    <row r="234" spans="1:20" hidden="1" x14ac:dyDescent="0.25">
      <c r="A234" s="62">
        <v>230</v>
      </c>
      <c r="B234" s="62" t="s">
        <v>309</v>
      </c>
      <c r="C234" s="60">
        <f t="shared" si="42"/>
        <v>71006.699999999983</v>
      </c>
      <c r="D234" s="60">
        <v>22636.76</v>
      </c>
      <c r="E234" s="60">
        <v>234943.03</v>
      </c>
      <c r="F234" s="60"/>
      <c r="G234" s="60">
        <v>328586.49</v>
      </c>
      <c r="H234" s="60">
        <f t="shared" si="43"/>
        <v>394303.788</v>
      </c>
      <c r="I234" s="59">
        <v>2500723.3169</v>
      </c>
      <c r="J234" s="59">
        <f t="shared" si="44"/>
        <v>3000867.9802799998</v>
      </c>
      <c r="K234" s="58">
        <v>14.41</v>
      </c>
      <c r="L234" s="59">
        <f t="shared" si="45"/>
        <v>1023206.5469999998</v>
      </c>
      <c r="M234" s="58">
        <v>5.8</v>
      </c>
      <c r="N234" s="59">
        <f t="shared" si="46"/>
        <v>131293.20799999998</v>
      </c>
      <c r="O234" s="58">
        <v>5.73</v>
      </c>
      <c r="P234" s="59">
        <f t="shared" si="47"/>
        <v>1346223.5619000001</v>
      </c>
      <c r="Q234" s="58"/>
      <c r="R234" s="63"/>
      <c r="S234" s="59">
        <v>0</v>
      </c>
      <c r="T234" s="72">
        <f t="shared" si="48"/>
        <v>3000867.9802799998</v>
      </c>
    </row>
    <row r="235" spans="1:20" hidden="1" x14ac:dyDescent="0.25">
      <c r="A235" s="62">
        <v>231</v>
      </c>
      <c r="B235" s="62" t="s">
        <v>310</v>
      </c>
      <c r="C235" s="60">
        <f t="shared" si="42"/>
        <v>204653.56</v>
      </c>
      <c r="D235" s="60">
        <v>54626.34</v>
      </c>
      <c r="E235" s="60">
        <v>490405.3</v>
      </c>
      <c r="F235" s="60"/>
      <c r="G235" s="60">
        <v>749685.2</v>
      </c>
      <c r="H235" s="60">
        <f t="shared" si="43"/>
        <v>899622.23999999987</v>
      </c>
      <c r="I235" s="59">
        <v>6075912.9406000003</v>
      </c>
      <c r="J235" s="59">
        <f t="shared" si="44"/>
        <v>7291095.5287199998</v>
      </c>
      <c r="K235" s="58">
        <v>14.41</v>
      </c>
      <c r="L235" s="59">
        <f t="shared" si="45"/>
        <v>2949057.7996</v>
      </c>
      <c r="M235" s="58">
        <v>5.8</v>
      </c>
      <c r="N235" s="59">
        <f t="shared" si="46"/>
        <v>316832.772</v>
      </c>
      <c r="O235" s="58">
        <v>5.73</v>
      </c>
      <c r="P235" s="59">
        <f t="shared" si="47"/>
        <v>2810022.3689999999</v>
      </c>
      <c r="Q235" s="58"/>
      <c r="R235" s="63"/>
      <c r="S235" s="59">
        <v>0</v>
      </c>
      <c r="T235" s="72">
        <f t="shared" si="48"/>
        <v>7291095.5287199998</v>
      </c>
    </row>
    <row r="236" spans="1:20" hidden="1" x14ac:dyDescent="0.25">
      <c r="A236" s="62">
        <v>232</v>
      </c>
      <c r="B236" s="62" t="s">
        <v>311</v>
      </c>
      <c r="C236" s="60">
        <f t="shared" si="42"/>
        <v>24172.789999999994</v>
      </c>
      <c r="D236" s="60">
        <v>7988.58</v>
      </c>
      <c r="E236" s="60">
        <v>65536.67</v>
      </c>
      <c r="F236" s="60"/>
      <c r="G236" s="60">
        <v>97698.04</v>
      </c>
      <c r="H236" s="60">
        <f t="shared" si="43"/>
        <v>117237.64799999999</v>
      </c>
      <c r="I236" s="59">
        <v>770188.78699999989</v>
      </c>
      <c r="J236" s="59">
        <f t="shared" si="44"/>
        <v>924226.5443999999</v>
      </c>
      <c r="K236" s="58">
        <v>14.41</v>
      </c>
      <c r="L236" s="59">
        <f t="shared" si="45"/>
        <v>348329.90389999992</v>
      </c>
      <c r="M236" s="58">
        <v>5.8</v>
      </c>
      <c r="N236" s="59">
        <f t="shared" si="46"/>
        <v>46333.763999999996</v>
      </c>
      <c r="O236" s="58">
        <v>5.73</v>
      </c>
      <c r="P236" s="59">
        <f t="shared" si="47"/>
        <v>375525.11910000001</v>
      </c>
      <c r="Q236" s="58"/>
      <c r="R236" s="63"/>
      <c r="S236" s="59">
        <v>0</v>
      </c>
      <c r="T236" s="72">
        <f t="shared" si="48"/>
        <v>924226.5443999999</v>
      </c>
    </row>
    <row r="237" spans="1:20" hidden="1" x14ac:dyDescent="0.25">
      <c r="A237" s="62">
        <v>233</v>
      </c>
      <c r="B237" s="62" t="s">
        <v>312</v>
      </c>
      <c r="C237" s="60">
        <f t="shared" si="42"/>
        <v>24719.479999999996</v>
      </c>
      <c r="D237" s="60">
        <v>7988.58</v>
      </c>
      <c r="E237" s="60">
        <v>71032.13</v>
      </c>
      <c r="F237" s="60"/>
      <c r="G237" s="60">
        <v>103740.19</v>
      </c>
      <c r="H237" s="60">
        <f t="shared" si="43"/>
        <v>124488.228</v>
      </c>
      <c r="I237" s="59">
        <v>809555.57569999993</v>
      </c>
      <c r="J237" s="59">
        <f t="shared" si="44"/>
        <v>971466.69083999982</v>
      </c>
      <c r="K237" s="58">
        <v>14.41</v>
      </c>
      <c r="L237" s="59">
        <f t="shared" si="45"/>
        <v>356207.70679999993</v>
      </c>
      <c r="M237" s="58">
        <v>5.8</v>
      </c>
      <c r="N237" s="59">
        <f t="shared" si="46"/>
        <v>46333.763999999996</v>
      </c>
      <c r="O237" s="58">
        <v>5.73</v>
      </c>
      <c r="P237" s="59">
        <f t="shared" si="47"/>
        <v>407014.10490000003</v>
      </c>
      <c r="Q237" s="58"/>
      <c r="R237" s="63"/>
      <c r="S237" s="59">
        <v>0</v>
      </c>
      <c r="T237" s="72">
        <f t="shared" si="48"/>
        <v>971466.69083999982</v>
      </c>
    </row>
    <row r="238" spans="1:20" hidden="1" x14ac:dyDescent="0.25">
      <c r="A238" s="62">
        <v>234</v>
      </c>
      <c r="B238" s="62" t="s">
        <v>313</v>
      </c>
      <c r="C238" s="60">
        <f t="shared" si="42"/>
        <v>30793.649999999994</v>
      </c>
      <c r="D238" s="60">
        <v>7988.58</v>
      </c>
      <c r="E238" s="60">
        <v>86775.89</v>
      </c>
      <c r="F238" s="60"/>
      <c r="G238" s="60">
        <v>125558.12</v>
      </c>
      <c r="H238" s="60">
        <f t="shared" si="43"/>
        <v>150669.74399999998</v>
      </c>
      <c r="I238" s="59">
        <v>987296.11019999988</v>
      </c>
      <c r="J238" s="59">
        <f t="shared" si="44"/>
        <v>1184755.3322399999</v>
      </c>
      <c r="K238" s="58">
        <v>14.41</v>
      </c>
      <c r="L238" s="59">
        <f t="shared" si="45"/>
        <v>443736.49649999989</v>
      </c>
      <c r="M238" s="58">
        <v>5.8</v>
      </c>
      <c r="N238" s="59">
        <f t="shared" si="46"/>
        <v>46333.763999999996</v>
      </c>
      <c r="O238" s="58">
        <v>5.73</v>
      </c>
      <c r="P238" s="59">
        <f t="shared" si="47"/>
        <v>497225.84970000002</v>
      </c>
      <c r="Q238" s="58"/>
      <c r="R238" s="63"/>
      <c r="S238" s="59">
        <v>0</v>
      </c>
      <c r="T238" s="72">
        <f t="shared" si="48"/>
        <v>1184755.3322399999</v>
      </c>
    </row>
    <row r="239" spans="1:20" hidden="1" x14ac:dyDescent="0.25">
      <c r="A239" s="62">
        <v>235</v>
      </c>
      <c r="B239" s="62" t="s">
        <v>314</v>
      </c>
      <c r="C239" s="60">
        <f t="shared" si="42"/>
        <v>17813.22</v>
      </c>
      <c r="D239" s="60">
        <v>6123.78</v>
      </c>
      <c r="E239" s="60">
        <v>41040.49</v>
      </c>
      <c r="F239" s="60"/>
      <c r="G239" s="60">
        <v>64977.49</v>
      </c>
      <c r="H239" s="60">
        <f t="shared" si="43"/>
        <v>77972.987999999998</v>
      </c>
      <c r="I239" s="59">
        <v>527368.43189999997</v>
      </c>
      <c r="J239" s="59">
        <f t="shared" si="44"/>
        <v>632842.11827999994</v>
      </c>
      <c r="K239" s="58">
        <v>14.41</v>
      </c>
      <c r="L239" s="59">
        <f t="shared" si="45"/>
        <v>256688.50020000001</v>
      </c>
      <c r="M239" s="58">
        <v>5.8</v>
      </c>
      <c r="N239" s="59">
        <f t="shared" si="46"/>
        <v>35517.923999999999</v>
      </c>
      <c r="O239" s="58">
        <v>5.73</v>
      </c>
      <c r="P239" s="59">
        <f t="shared" si="47"/>
        <v>235162.00770000002</v>
      </c>
      <c r="Q239" s="58"/>
      <c r="R239" s="63"/>
      <c r="S239" s="59">
        <v>0</v>
      </c>
      <c r="T239" s="72">
        <f t="shared" si="48"/>
        <v>632842.11827999994</v>
      </c>
    </row>
    <row r="240" spans="1:20" hidden="1" x14ac:dyDescent="0.25">
      <c r="A240" s="62">
        <v>236</v>
      </c>
      <c r="B240" s="62" t="s">
        <v>53</v>
      </c>
      <c r="C240" s="60">
        <f t="shared" si="42"/>
        <v>104036.43</v>
      </c>
      <c r="D240" s="60">
        <v>29802.95</v>
      </c>
      <c r="E240" s="60">
        <v>359821.68</v>
      </c>
      <c r="F240" s="60"/>
      <c r="G240" s="60">
        <v>493661.06</v>
      </c>
      <c r="H240" s="60">
        <f t="shared" si="43"/>
        <v>592393.272</v>
      </c>
      <c r="I240" s="59">
        <v>3733800.2927000001</v>
      </c>
      <c r="J240" s="59">
        <f t="shared" si="44"/>
        <v>4480560.3512399998</v>
      </c>
      <c r="K240" s="58">
        <v>14.41</v>
      </c>
      <c r="L240" s="59">
        <f t="shared" si="45"/>
        <v>1499164.9563</v>
      </c>
      <c r="M240" s="58">
        <v>5.8</v>
      </c>
      <c r="N240" s="59">
        <f t="shared" si="46"/>
        <v>172857.11</v>
      </c>
      <c r="O240" s="58">
        <v>5.73</v>
      </c>
      <c r="P240" s="59">
        <f t="shared" si="47"/>
        <v>2061778.2264</v>
      </c>
      <c r="Q240" s="58"/>
      <c r="R240" s="63"/>
      <c r="S240" s="59">
        <v>0</v>
      </c>
      <c r="T240" s="72">
        <f t="shared" si="48"/>
        <v>4480560.3512399998</v>
      </c>
    </row>
    <row r="241" spans="1:20" hidden="1" x14ac:dyDescent="0.25">
      <c r="A241" s="62">
        <v>237</v>
      </c>
      <c r="B241" s="62" t="s">
        <v>315</v>
      </c>
      <c r="C241" s="60">
        <f t="shared" si="42"/>
        <v>107436.90000000002</v>
      </c>
      <c r="D241" s="60">
        <v>28755.35</v>
      </c>
      <c r="E241" s="60">
        <v>398264.73</v>
      </c>
      <c r="F241" s="60"/>
      <c r="G241" s="60">
        <v>534456.98</v>
      </c>
      <c r="H241" s="60">
        <f t="shared" si="43"/>
        <v>641348.37599999993</v>
      </c>
      <c r="I241" s="59">
        <v>3997003.6619000006</v>
      </c>
      <c r="J241" s="59">
        <f t="shared" si="44"/>
        <v>4796404.3942800006</v>
      </c>
      <c r="K241" s="58">
        <v>14.41</v>
      </c>
      <c r="L241" s="59">
        <f t="shared" si="45"/>
        <v>1548165.7290000003</v>
      </c>
      <c r="M241" s="58">
        <v>5.8</v>
      </c>
      <c r="N241" s="59">
        <f t="shared" si="46"/>
        <v>166781.03</v>
      </c>
      <c r="O241" s="58">
        <v>5.73</v>
      </c>
      <c r="P241" s="59">
        <f t="shared" si="47"/>
        <v>2282056.9029000001</v>
      </c>
      <c r="Q241" s="58"/>
      <c r="R241" s="63"/>
      <c r="S241" s="59">
        <v>0</v>
      </c>
      <c r="T241" s="72">
        <f t="shared" si="48"/>
        <v>4796404.3942800006</v>
      </c>
    </row>
    <row r="242" spans="1:20" hidden="1" x14ac:dyDescent="0.25">
      <c r="A242" s="62">
        <v>238</v>
      </c>
      <c r="B242" s="62" t="s">
        <v>316</v>
      </c>
      <c r="C242" s="60">
        <f t="shared" si="42"/>
        <v>117430.52000000008</v>
      </c>
      <c r="D242" s="60">
        <v>27827.45</v>
      </c>
      <c r="E242" s="60">
        <v>444263.3</v>
      </c>
      <c r="F242" s="60"/>
      <c r="G242" s="60">
        <v>589521.27</v>
      </c>
      <c r="H242" s="60">
        <f t="shared" si="43"/>
        <v>707425.52399999998</v>
      </c>
      <c r="I242" s="59">
        <v>4399201.7122000009</v>
      </c>
      <c r="J242" s="59">
        <f t="shared" si="44"/>
        <v>5279042.0546400007</v>
      </c>
      <c r="K242" s="58">
        <v>14.41</v>
      </c>
      <c r="L242" s="59">
        <f t="shared" si="45"/>
        <v>1692173.7932000011</v>
      </c>
      <c r="M242" s="58">
        <v>5.8</v>
      </c>
      <c r="N242" s="59">
        <f t="shared" si="46"/>
        <v>161399.21</v>
      </c>
      <c r="O242" s="58">
        <v>5.73</v>
      </c>
      <c r="P242" s="59">
        <f t="shared" si="47"/>
        <v>2545628.7090000003</v>
      </c>
      <c r="Q242" s="58"/>
      <c r="R242" s="63"/>
      <c r="S242" s="59">
        <v>0</v>
      </c>
      <c r="T242" s="72">
        <f t="shared" si="48"/>
        <v>5279042.0546400007</v>
      </c>
    </row>
    <row r="243" spans="1:20" hidden="1" x14ac:dyDescent="0.25">
      <c r="A243" s="62">
        <v>239</v>
      </c>
      <c r="B243" s="62" t="s">
        <v>55</v>
      </c>
      <c r="C243" s="60">
        <f t="shared" si="42"/>
        <v>100093.88</v>
      </c>
      <c r="D243" s="60">
        <v>29802.95</v>
      </c>
      <c r="E243" s="60">
        <v>319312.68</v>
      </c>
      <c r="F243" s="60"/>
      <c r="G243" s="60">
        <v>449209.51</v>
      </c>
      <c r="H243" s="60">
        <f t="shared" si="43"/>
        <v>539051.41200000001</v>
      </c>
      <c r="I243" s="59">
        <v>3444871.5772000002</v>
      </c>
      <c r="J243" s="59">
        <f t="shared" si="44"/>
        <v>4133845.8926400002</v>
      </c>
      <c r="K243" s="58">
        <v>14.41</v>
      </c>
      <c r="L243" s="59">
        <f t="shared" si="45"/>
        <v>1442352.8108000001</v>
      </c>
      <c r="M243" s="58">
        <v>5.8</v>
      </c>
      <c r="N243" s="59">
        <f t="shared" si="46"/>
        <v>172857.11</v>
      </c>
      <c r="O243" s="58">
        <v>5.73</v>
      </c>
      <c r="P243" s="59">
        <f t="shared" si="47"/>
        <v>1829661.6564000002</v>
      </c>
      <c r="Q243" s="58"/>
      <c r="R243" s="63"/>
      <c r="S243" s="59">
        <v>0</v>
      </c>
      <c r="T243" s="72">
        <f t="shared" si="48"/>
        <v>4133845.8926400002</v>
      </c>
    </row>
    <row r="244" spans="1:20" hidden="1" x14ac:dyDescent="0.25">
      <c r="A244" s="62">
        <v>240</v>
      </c>
      <c r="B244" s="62" t="s">
        <v>54</v>
      </c>
      <c r="C244" s="60">
        <f t="shared" si="42"/>
        <v>108062.78000000003</v>
      </c>
      <c r="D244" s="60">
        <v>29802.95</v>
      </c>
      <c r="E244" s="60">
        <v>401191.67999999999</v>
      </c>
      <c r="F244" s="60"/>
      <c r="G244" s="60">
        <v>539057.41</v>
      </c>
      <c r="H244" s="60">
        <f t="shared" si="43"/>
        <v>646868.89199999999</v>
      </c>
      <c r="I244" s="59">
        <v>4028870.0962000005</v>
      </c>
      <c r="J244" s="59">
        <f t="shared" si="44"/>
        <v>4834644.1154400008</v>
      </c>
      <c r="K244" s="58">
        <v>14.41</v>
      </c>
      <c r="L244" s="59">
        <f t="shared" si="45"/>
        <v>1557184.6598000005</v>
      </c>
      <c r="M244" s="58">
        <v>5.8</v>
      </c>
      <c r="N244" s="59">
        <f t="shared" si="46"/>
        <v>172857.11</v>
      </c>
      <c r="O244" s="58">
        <v>5.73</v>
      </c>
      <c r="P244" s="59">
        <f t="shared" si="47"/>
        <v>2298828.3264000001</v>
      </c>
      <c r="Q244" s="58"/>
      <c r="R244" s="63"/>
      <c r="S244" s="59">
        <v>0</v>
      </c>
      <c r="T244" s="72">
        <f t="shared" si="48"/>
        <v>4834644.1154400008</v>
      </c>
    </row>
    <row r="245" spans="1:20" hidden="1" x14ac:dyDescent="0.25">
      <c r="A245" s="62">
        <v>241</v>
      </c>
      <c r="B245" s="62" t="s">
        <v>56</v>
      </c>
      <c r="C245" s="60">
        <f t="shared" si="42"/>
        <v>23375.040000000008</v>
      </c>
      <c r="D245" s="60">
        <v>6123.78</v>
      </c>
      <c r="E245" s="60">
        <v>96949.92</v>
      </c>
      <c r="F245" s="60"/>
      <c r="G245" s="60">
        <v>126448.74</v>
      </c>
      <c r="H245" s="60">
        <f t="shared" si="43"/>
        <v>151738.48800000001</v>
      </c>
      <c r="I245" s="59">
        <v>927875.29200000013</v>
      </c>
      <c r="J245" s="59">
        <f t="shared" si="44"/>
        <v>1113450.3504000001</v>
      </c>
      <c r="K245" s="58">
        <v>14.41</v>
      </c>
      <c r="L245" s="59">
        <f t="shared" si="45"/>
        <v>336834.32640000014</v>
      </c>
      <c r="M245" s="58">
        <v>5.8</v>
      </c>
      <c r="N245" s="59">
        <f t="shared" si="46"/>
        <v>35517.923999999999</v>
      </c>
      <c r="O245" s="58">
        <v>5.73</v>
      </c>
      <c r="P245" s="59">
        <f t="shared" si="47"/>
        <v>555523.0416</v>
      </c>
      <c r="Q245" s="58"/>
      <c r="R245" s="63"/>
      <c r="S245" s="59">
        <v>0</v>
      </c>
      <c r="T245" s="72">
        <f t="shared" si="48"/>
        <v>1113450.3504000001</v>
      </c>
    </row>
    <row r="246" spans="1:20" hidden="1" x14ac:dyDescent="0.25">
      <c r="A246" s="62">
        <v>242</v>
      </c>
      <c r="B246" s="62" t="s">
        <v>57</v>
      </c>
      <c r="C246" s="60">
        <f t="shared" si="42"/>
        <v>27489.940000000002</v>
      </c>
      <c r="D246" s="60">
        <v>6123.78</v>
      </c>
      <c r="E246" s="60">
        <v>138314.41</v>
      </c>
      <c r="F246" s="60"/>
      <c r="G246" s="60">
        <v>171928.13</v>
      </c>
      <c r="H246" s="60">
        <f t="shared" si="43"/>
        <v>206313.75599999999</v>
      </c>
      <c r="I246" s="59">
        <v>1224189.5287000001</v>
      </c>
      <c r="J246" s="59">
        <f t="shared" si="44"/>
        <v>1469027.4344400002</v>
      </c>
      <c r="K246" s="58">
        <v>14.41</v>
      </c>
      <c r="L246" s="59">
        <f t="shared" si="45"/>
        <v>396130.03540000005</v>
      </c>
      <c r="M246" s="58">
        <v>5.8</v>
      </c>
      <c r="N246" s="59">
        <f t="shared" si="46"/>
        <v>35517.923999999999</v>
      </c>
      <c r="O246" s="58">
        <v>5.73</v>
      </c>
      <c r="P246" s="59">
        <f t="shared" si="47"/>
        <v>792541.56930000009</v>
      </c>
      <c r="Q246" s="58"/>
      <c r="R246" s="63"/>
      <c r="S246" s="59">
        <v>0</v>
      </c>
      <c r="T246" s="72">
        <f t="shared" si="48"/>
        <v>1469027.4344400002</v>
      </c>
    </row>
    <row r="247" spans="1:20" hidden="1" x14ac:dyDescent="0.25">
      <c r="A247" s="62">
        <v>243</v>
      </c>
      <c r="B247" s="62" t="s">
        <v>58</v>
      </c>
      <c r="C247" s="60">
        <f t="shared" si="42"/>
        <v>110891.59999999998</v>
      </c>
      <c r="D247" s="60">
        <v>34476.57</v>
      </c>
      <c r="E247" s="60">
        <v>262704.71000000002</v>
      </c>
      <c r="F247" s="60"/>
      <c r="G247" s="60">
        <v>408072.88</v>
      </c>
      <c r="H247" s="60">
        <f t="shared" si="43"/>
        <v>489687.45600000001</v>
      </c>
      <c r="I247" s="59">
        <v>3303210.0503000002</v>
      </c>
      <c r="J247" s="59">
        <f t="shared" si="44"/>
        <v>3963852.06036</v>
      </c>
      <c r="K247" s="58">
        <v>14.41</v>
      </c>
      <c r="L247" s="59">
        <f t="shared" si="45"/>
        <v>1597947.9559999998</v>
      </c>
      <c r="M247" s="58">
        <v>5.8</v>
      </c>
      <c r="N247" s="59">
        <f t="shared" si="46"/>
        <v>199964.106</v>
      </c>
      <c r="O247" s="58">
        <v>5.73</v>
      </c>
      <c r="P247" s="59">
        <f t="shared" si="47"/>
        <v>1505297.9883000003</v>
      </c>
      <c r="Q247" s="58"/>
      <c r="R247" s="63"/>
      <c r="S247" s="59">
        <v>0</v>
      </c>
      <c r="T247" s="72">
        <f t="shared" si="48"/>
        <v>3963852.06036</v>
      </c>
    </row>
    <row r="248" spans="1:20" hidden="1" x14ac:dyDescent="0.25">
      <c r="A248" s="62">
        <v>244</v>
      </c>
      <c r="B248" s="62" t="s">
        <v>59</v>
      </c>
      <c r="C248" s="60">
        <f t="shared" si="42"/>
        <v>65787.570000000007</v>
      </c>
      <c r="D248" s="60">
        <v>11855.69</v>
      </c>
      <c r="E248" s="60">
        <v>233033.74</v>
      </c>
      <c r="F248" s="60"/>
      <c r="G248" s="60">
        <v>310677</v>
      </c>
      <c r="H248" s="60">
        <f t="shared" si="43"/>
        <v>372812.39999999997</v>
      </c>
      <c r="I248" s="59">
        <v>2352045.2159000002</v>
      </c>
      <c r="J248" s="59">
        <f t="shared" si="44"/>
        <v>2822454.2590800002</v>
      </c>
      <c r="K248" s="58">
        <v>14.41</v>
      </c>
      <c r="L248" s="59">
        <f t="shared" si="45"/>
        <v>947998.88370000012</v>
      </c>
      <c r="M248" s="58">
        <v>5.8</v>
      </c>
      <c r="N248" s="59">
        <f t="shared" si="46"/>
        <v>68763.002000000008</v>
      </c>
      <c r="O248" s="58">
        <v>5.73</v>
      </c>
      <c r="P248" s="59">
        <f t="shared" si="47"/>
        <v>1335283.3302</v>
      </c>
      <c r="Q248" s="58"/>
      <c r="R248" s="63"/>
      <c r="S248" s="59">
        <v>0</v>
      </c>
      <c r="T248" s="72">
        <f t="shared" si="48"/>
        <v>2822454.2590800002</v>
      </c>
    </row>
    <row r="249" spans="1:20" hidden="1" x14ac:dyDescent="0.25">
      <c r="A249" s="62">
        <v>245</v>
      </c>
      <c r="B249" s="62" t="s">
        <v>60</v>
      </c>
      <c r="C249" s="60">
        <f t="shared" si="42"/>
        <v>76824.270000000019</v>
      </c>
      <c r="D249" s="60">
        <v>11855.69</v>
      </c>
      <c r="E249" s="60">
        <v>346433.74</v>
      </c>
      <c r="F249" s="60"/>
      <c r="G249" s="60">
        <v>435113.7</v>
      </c>
      <c r="H249" s="60">
        <f t="shared" si="43"/>
        <v>522136.44</v>
      </c>
      <c r="I249" s="59">
        <v>3160866.0629000003</v>
      </c>
      <c r="J249" s="59">
        <f t="shared" si="44"/>
        <v>3793039.2754800003</v>
      </c>
      <c r="K249" s="58">
        <v>14.41</v>
      </c>
      <c r="L249" s="59">
        <f t="shared" si="45"/>
        <v>1107037.7307000002</v>
      </c>
      <c r="M249" s="58">
        <v>5.8</v>
      </c>
      <c r="N249" s="59">
        <f t="shared" si="46"/>
        <v>68763.002000000008</v>
      </c>
      <c r="O249" s="58">
        <v>5.73</v>
      </c>
      <c r="P249" s="59">
        <f t="shared" si="47"/>
        <v>1985065.3302000002</v>
      </c>
      <c r="Q249" s="58"/>
      <c r="R249" s="63"/>
      <c r="S249" s="59">
        <v>0</v>
      </c>
      <c r="T249" s="72">
        <f t="shared" si="48"/>
        <v>3793039.2754800003</v>
      </c>
    </row>
    <row r="250" spans="1:20" ht="14.25" hidden="1" customHeight="1" x14ac:dyDescent="0.25">
      <c r="A250" s="62">
        <v>246</v>
      </c>
      <c r="B250" s="62" t="s">
        <v>62</v>
      </c>
      <c r="C250" s="60">
        <f t="shared" si="42"/>
        <v>47438.899999999994</v>
      </c>
      <c r="D250" s="60">
        <v>9944.01</v>
      </c>
      <c r="E250" s="60">
        <v>141501.85999999999</v>
      </c>
      <c r="F250" s="60"/>
      <c r="G250" s="60">
        <v>198884.77</v>
      </c>
      <c r="H250" s="60">
        <f t="shared" si="43"/>
        <v>238661.72399999999</v>
      </c>
      <c r="I250" s="59">
        <v>1552075.4647999997</v>
      </c>
      <c r="J250" s="59">
        <f t="shared" si="44"/>
        <v>1862490.5577599995</v>
      </c>
      <c r="K250" s="58">
        <v>14.41</v>
      </c>
      <c r="L250" s="59">
        <f t="shared" si="45"/>
        <v>683594.54899999988</v>
      </c>
      <c r="M250" s="58">
        <v>5.8</v>
      </c>
      <c r="N250" s="59">
        <f t="shared" si="46"/>
        <v>57675.258000000002</v>
      </c>
      <c r="O250" s="58">
        <v>5.73</v>
      </c>
      <c r="P250" s="59">
        <f t="shared" si="47"/>
        <v>810805.65779999993</v>
      </c>
      <c r="Q250" s="58"/>
      <c r="R250" s="63"/>
      <c r="S250" s="59">
        <v>0</v>
      </c>
      <c r="T250" s="72">
        <f t="shared" si="48"/>
        <v>1862490.5577599995</v>
      </c>
    </row>
    <row r="251" spans="1:20" hidden="1" x14ac:dyDescent="0.25">
      <c r="A251" s="62">
        <v>247</v>
      </c>
      <c r="B251" s="62" t="s">
        <v>63</v>
      </c>
      <c r="C251" s="60">
        <f t="shared" si="42"/>
        <v>52957.25</v>
      </c>
      <c r="D251" s="60">
        <v>9944.01</v>
      </c>
      <c r="E251" s="60">
        <v>198201.86</v>
      </c>
      <c r="F251" s="60"/>
      <c r="G251" s="60">
        <v>261103.12</v>
      </c>
      <c r="H251" s="60">
        <f t="shared" si="43"/>
        <v>313323.74400000001</v>
      </c>
      <c r="I251" s="59">
        <v>1956485.8883</v>
      </c>
      <c r="J251" s="59">
        <f t="shared" si="44"/>
        <v>2347783.0659599998</v>
      </c>
      <c r="K251" s="58">
        <v>14.41</v>
      </c>
      <c r="L251" s="59">
        <f t="shared" si="45"/>
        <v>763113.97250000003</v>
      </c>
      <c r="M251" s="58">
        <v>5.8</v>
      </c>
      <c r="N251" s="59">
        <f t="shared" si="46"/>
        <v>57675.258000000002</v>
      </c>
      <c r="O251" s="58">
        <v>5.73</v>
      </c>
      <c r="P251" s="59">
        <f t="shared" si="47"/>
        <v>1135696.6577999999</v>
      </c>
      <c r="Q251" s="58"/>
      <c r="R251" s="63"/>
      <c r="S251" s="59">
        <v>0</v>
      </c>
      <c r="T251" s="72">
        <f t="shared" si="48"/>
        <v>2347783.0659599998</v>
      </c>
    </row>
    <row r="252" spans="1:20" hidden="1" x14ac:dyDescent="0.25">
      <c r="A252" s="62">
        <v>248</v>
      </c>
      <c r="B252" s="62" t="s">
        <v>64</v>
      </c>
      <c r="C252" s="60">
        <f t="shared" si="42"/>
        <v>42720.97</v>
      </c>
      <c r="D252" s="60">
        <v>8633.2199999999993</v>
      </c>
      <c r="E252" s="60">
        <v>143287.06</v>
      </c>
      <c r="F252" s="60"/>
      <c r="G252" s="60">
        <v>194641.25</v>
      </c>
      <c r="H252" s="60">
        <f t="shared" si="43"/>
        <v>233569.5</v>
      </c>
      <c r="I252" s="59">
        <v>1486716.7075</v>
      </c>
      <c r="J252" s="59">
        <f t="shared" si="44"/>
        <v>1784060.0489999999</v>
      </c>
      <c r="K252" s="58">
        <v>14.41</v>
      </c>
      <c r="L252" s="59">
        <f t="shared" si="45"/>
        <v>615609.1777</v>
      </c>
      <c r="M252" s="58">
        <v>5.8</v>
      </c>
      <c r="N252" s="59">
        <f t="shared" si="46"/>
        <v>50072.675999999992</v>
      </c>
      <c r="O252" s="58">
        <v>5.73</v>
      </c>
      <c r="P252" s="59">
        <f t="shared" si="47"/>
        <v>821034.85380000004</v>
      </c>
      <c r="Q252" s="58"/>
      <c r="R252" s="63"/>
      <c r="S252" s="59">
        <v>0</v>
      </c>
      <c r="T252" s="72">
        <f t="shared" si="48"/>
        <v>1784060.0489999999</v>
      </c>
    </row>
    <row r="253" spans="1:20" hidden="1" x14ac:dyDescent="0.25">
      <c r="A253" s="62">
        <v>249</v>
      </c>
      <c r="B253" s="62" t="s">
        <v>65</v>
      </c>
      <c r="C253" s="60">
        <f t="shared" si="42"/>
        <v>48239.320000000007</v>
      </c>
      <c r="D253" s="60">
        <v>8633.2199999999993</v>
      </c>
      <c r="E253" s="60">
        <v>199987.06</v>
      </c>
      <c r="F253" s="60"/>
      <c r="G253" s="60">
        <v>256859.6</v>
      </c>
      <c r="H253" s="60">
        <f t="shared" si="43"/>
        <v>308231.52</v>
      </c>
      <c r="I253" s="59">
        <v>1891127.1310000003</v>
      </c>
      <c r="J253" s="59">
        <f t="shared" si="44"/>
        <v>2269352.5572000002</v>
      </c>
      <c r="K253" s="58">
        <v>14.41</v>
      </c>
      <c r="L253" s="59">
        <f t="shared" si="45"/>
        <v>695128.60120000015</v>
      </c>
      <c r="M253" s="58">
        <v>5.8</v>
      </c>
      <c r="N253" s="59">
        <f t="shared" si="46"/>
        <v>50072.675999999992</v>
      </c>
      <c r="O253" s="58">
        <v>5.73</v>
      </c>
      <c r="P253" s="59">
        <f t="shared" si="47"/>
        <v>1145925.8538000002</v>
      </c>
      <c r="Q253" s="58"/>
      <c r="R253" s="63"/>
      <c r="S253" s="59">
        <v>0</v>
      </c>
      <c r="T253" s="72">
        <f t="shared" si="48"/>
        <v>2269352.5572000002</v>
      </c>
    </row>
    <row r="254" spans="1:20" hidden="1" x14ac:dyDescent="0.25">
      <c r="A254" s="62">
        <v>250</v>
      </c>
      <c r="B254" s="62" t="s">
        <v>66</v>
      </c>
      <c r="C254" s="60">
        <f t="shared" si="42"/>
        <v>98334.069999999949</v>
      </c>
      <c r="D254" s="60">
        <v>31388.59</v>
      </c>
      <c r="E254" s="60">
        <v>230734.69</v>
      </c>
      <c r="F254" s="60"/>
      <c r="G254" s="60">
        <v>360457.35</v>
      </c>
      <c r="H254" s="60">
        <f t="shared" si="43"/>
        <v>432548.81999999995</v>
      </c>
      <c r="I254" s="59">
        <v>2921157.5443999991</v>
      </c>
      <c r="J254" s="59">
        <f t="shared" si="44"/>
        <v>3505389.0532799987</v>
      </c>
      <c r="K254" s="58">
        <v>14.41</v>
      </c>
      <c r="L254" s="59">
        <f t="shared" si="45"/>
        <v>1416993.9486999994</v>
      </c>
      <c r="M254" s="58">
        <v>5.8</v>
      </c>
      <c r="N254" s="59">
        <f t="shared" si="46"/>
        <v>182053.82199999999</v>
      </c>
      <c r="O254" s="58">
        <v>5.73</v>
      </c>
      <c r="P254" s="59">
        <f t="shared" si="47"/>
        <v>1322109.7737</v>
      </c>
      <c r="Q254" s="58"/>
      <c r="R254" s="63"/>
      <c r="S254" s="59">
        <v>0</v>
      </c>
      <c r="T254" s="72">
        <f t="shared" si="48"/>
        <v>3505389.0532799987</v>
      </c>
    </row>
    <row r="255" spans="1:20" hidden="1" x14ac:dyDescent="0.25">
      <c r="A255" s="62">
        <v>251</v>
      </c>
      <c r="B255" s="62" t="s">
        <v>67</v>
      </c>
      <c r="C255" s="60">
        <f t="shared" si="42"/>
        <v>27297.76999999999</v>
      </c>
      <c r="D255" s="60">
        <v>7988.58</v>
      </c>
      <c r="E255" s="60">
        <v>96949.92</v>
      </c>
      <c r="F255" s="60"/>
      <c r="G255" s="60">
        <v>132236.26999999999</v>
      </c>
      <c r="H255" s="60">
        <f t="shared" si="43"/>
        <v>158683.52399999998</v>
      </c>
      <c r="I255" s="59">
        <v>995217.67129999981</v>
      </c>
      <c r="J255" s="59">
        <f t="shared" si="44"/>
        <v>1194261.2055599997</v>
      </c>
      <c r="K255" s="58">
        <v>14.41</v>
      </c>
      <c r="L255" s="59">
        <f t="shared" si="45"/>
        <v>393360.86569999985</v>
      </c>
      <c r="M255" s="58">
        <v>5.8</v>
      </c>
      <c r="N255" s="59">
        <f t="shared" si="46"/>
        <v>46333.763999999996</v>
      </c>
      <c r="O255" s="58">
        <v>5.73</v>
      </c>
      <c r="P255" s="59">
        <f t="shared" si="47"/>
        <v>555523.0416</v>
      </c>
      <c r="Q255" s="58"/>
      <c r="R255" s="63"/>
      <c r="S255" s="59">
        <v>0</v>
      </c>
      <c r="T255" s="72">
        <f t="shared" si="48"/>
        <v>1194261.2055599997</v>
      </c>
    </row>
    <row r="256" spans="1:20" hidden="1" x14ac:dyDescent="0.25">
      <c r="A256" s="62">
        <v>252</v>
      </c>
      <c r="B256" s="62" t="s">
        <v>68</v>
      </c>
      <c r="C256" s="60">
        <f t="shared" si="42"/>
        <v>28616.87000000001</v>
      </c>
      <c r="D256" s="60">
        <v>7988.58</v>
      </c>
      <c r="E256" s="60">
        <v>110584.55</v>
      </c>
      <c r="F256" s="60"/>
      <c r="G256" s="60">
        <v>147190</v>
      </c>
      <c r="H256" s="60">
        <f t="shared" si="43"/>
        <v>176628</v>
      </c>
      <c r="I256" s="59">
        <v>1092352.3322000003</v>
      </c>
      <c r="J256" s="59">
        <f t="shared" si="44"/>
        <v>1310822.7986400004</v>
      </c>
      <c r="K256" s="58">
        <v>14.41</v>
      </c>
      <c r="L256" s="59">
        <f t="shared" si="45"/>
        <v>412369.09670000017</v>
      </c>
      <c r="M256" s="58">
        <v>5.8</v>
      </c>
      <c r="N256" s="59">
        <f t="shared" si="46"/>
        <v>46333.763999999996</v>
      </c>
      <c r="O256" s="58">
        <v>5.73</v>
      </c>
      <c r="P256" s="59">
        <f t="shared" si="47"/>
        <v>633649.4715000001</v>
      </c>
      <c r="Q256" s="58"/>
      <c r="R256" s="63"/>
      <c r="S256" s="59">
        <v>0</v>
      </c>
      <c r="T256" s="72">
        <f t="shared" si="48"/>
        <v>1310822.7986400004</v>
      </c>
    </row>
    <row r="257" spans="1:20" hidden="1" x14ac:dyDescent="0.25">
      <c r="A257" s="62">
        <v>253</v>
      </c>
      <c r="B257" s="62" t="s">
        <v>69</v>
      </c>
      <c r="C257" s="60">
        <f t="shared" ref="C257:C283" si="49">G257-D257-E257-F257</f>
        <v>8460.9399999999987</v>
      </c>
      <c r="D257" s="60">
        <v>2649.5</v>
      </c>
      <c r="E257" s="60">
        <v>22343.99</v>
      </c>
      <c r="F257" s="60"/>
      <c r="G257" s="60">
        <v>33454.43</v>
      </c>
      <c r="H257" s="60">
        <f t="shared" ref="H257:H283" si="50">G257*1.2</f>
        <v>40145.315999999999</v>
      </c>
      <c r="I257" s="59">
        <v>265320.30810000002</v>
      </c>
      <c r="J257" s="59">
        <f t="shared" si="44"/>
        <v>318384.36972000002</v>
      </c>
      <c r="K257" s="58">
        <v>14.41</v>
      </c>
      <c r="L257" s="59">
        <f t="shared" si="45"/>
        <v>121922.14539999998</v>
      </c>
      <c r="M257" s="58">
        <v>5.8</v>
      </c>
      <c r="N257" s="59">
        <f t="shared" si="46"/>
        <v>15367.1</v>
      </c>
      <c r="O257" s="58">
        <v>5.73</v>
      </c>
      <c r="P257" s="59">
        <f t="shared" si="47"/>
        <v>128031.06270000002</v>
      </c>
      <c r="Q257" s="58"/>
      <c r="R257" s="63"/>
      <c r="S257" s="59">
        <v>0</v>
      </c>
      <c r="T257" s="72">
        <f t="shared" si="48"/>
        <v>318384.36972000002</v>
      </c>
    </row>
    <row r="258" spans="1:20" hidden="1" x14ac:dyDescent="0.25">
      <c r="A258" s="62">
        <v>254</v>
      </c>
      <c r="B258" s="62" t="s">
        <v>70</v>
      </c>
      <c r="C258" s="60">
        <f t="shared" si="49"/>
        <v>8698.320000000007</v>
      </c>
      <c r="D258" s="60">
        <v>2647.24</v>
      </c>
      <c r="E258" s="60">
        <v>24636.17</v>
      </c>
      <c r="F258" s="60"/>
      <c r="G258" s="60">
        <v>35981.730000000003</v>
      </c>
      <c r="H258" s="60">
        <f t="shared" si="50"/>
        <v>43178.076000000001</v>
      </c>
      <c r="I258" s="59">
        <v>281862.03730000008</v>
      </c>
      <c r="J258" s="59">
        <f t="shared" si="44"/>
        <v>338234.4447600001</v>
      </c>
      <c r="K258" s="58">
        <v>14.41</v>
      </c>
      <c r="L258" s="59">
        <f t="shared" si="45"/>
        <v>125342.79120000011</v>
      </c>
      <c r="M258" s="58">
        <v>5.8</v>
      </c>
      <c r="N258" s="59">
        <f t="shared" si="46"/>
        <v>15353.991999999998</v>
      </c>
      <c r="O258" s="58">
        <v>5.73</v>
      </c>
      <c r="P258" s="59">
        <f t="shared" si="47"/>
        <v>141165.25409999999</v>
      </c>
      <c r="Q258" s="58"/>
      <c r="R258" s="63"/>
      <c r="S258" s="59">
        <v>0</v>
      </c>
      <c r="T258" s="72">
        <f t="shared" si="48"/>
        <v>338234.4447600001</v>
      </c>
    </row>
    <row r="259" spans="1:20" hidden="1" x14ac:dyDescent="0.25">
      <c r="A259" s="62">
        <v>255</v>
      </c>
      <c r="B259" s="62" t="s">
        <v>317</v>
      </c>
      <c r="C259" s="60">
        <f t="shared" si="49"/>
        <v>9601.5099999999984</v>
      </c>
      <c r="D259" s="60">
        <v>2808.22</v>
      </c>
      <c r="E259" s="60">
        <v>29908.880000000001</v>
      </c>
      <c r="F259" s="60"/>
      <c r="G259" s="60">
        <v>42318.61</v>
      </c>
      <c r="H259" s="60">
        <f t="shared" si="50"/>
        <v>50782.332000000002</v>
      </c>
      <c r="I259" s="59">
        <v>326023.3175</v>
      </c>
      <c r="J259" s="59">
        <f t="shared" si="44"/>
        <v>391227.98099999997</v>
      </c>
      <c r="K259" s="58">
        <v>14.41</v>
      </c>
      <c r="L259" s="59">
        <f t="shared" si="45"/>
        <v>138357.75909999997</v>
      </c>
      <c r="M259" s="58">
        <v>5.8</v>
      </c>
      <c r="N259" s="59">
        <f t="shared" si="46"/>
        <v>16287.675999999998</v>
      </c>
      <c r="O259" s="58">
        <v>5.73</v>
      </c>
      <c r="P259" s="59">
        <f t="shared" si="47"/>
        <v>171377.88240000003</v>
      </c>
      <c r="Q259" s="58"/>
      <c r="R259" s="63"/>
      <c r="S259" s="59">
        <v>0</v>
      </c>
      <c r="T259" s="72">
        <f t="shared" si="48"/>
        <v>391227.98099999997</v>
      </c>
    </row>
    <row r="260" spans="1:20" hidden="1" x14ac:dyDescent="0.25">
      <c r="A260" s="62">
        <v>256</v>
      </c>
      <c r="B260" s="62" t="s">
        <v>71</v>
      </c>
      <c r="C260" s="60">
        <f t="shared" si="49"/>
        <v>8441.4600000000028</v>
      </c>
      <c r="D260" s="60">
        <v>2321.14</v>
      </c>
      <c r="E260" s="60">
        <v>26758.44</v>
      </c>
      <c r="F260" s="60"/>
      <c r="G260" s="60">
        <v>37521.040000000001</v>
      </c>
      <c r="H260" s="60">
        <f t="shared" si="50"/>
        <v>45025.248</v>
      </c>
      <c r="I260" s="59">
        <v>288429.91180000006</v>
      </c>
      <c r="J260" s="59">
        <f t="shared" si="44"/>
        <v>346115.89416000008</v>
      </c>
      <c r="K260" s="58">
        <v>14.41</v>
      </c>
      <c r="L260" s="59">
        <f t="shared" si="45"/>
        <v>121641.43860000004</v>
      </c>
      <c r="M260" s="58">
        <v>5.8</v>
      </c>
      <c r="N260" s="59">
        <f t="shared" si="46"/>
        <v>13462.611999999999</v>
      </c>
      <c r="O260" s="58">
        <v>5.73</v>
      </c>
      <c r="P260" s="59">
        <f t="shared" si="47"/>
        <v>153325.86120000001</v>
      </c>
      <c r="Q260" s="58"/>
      <c r="R260" s="63"/>
      <c r="S260" s="59">
        <v>0</v>
      </c>
      <c r="T260" s="72">
        <f t="shared" si="48"/>
        <v>346115.89416000008</v>
      </c>
    </row>
    <row r="261" spans="1:20" hidden="1" x14ac:dyDescent="0.25">
      <c r="A261" s="62">
        <v>257</v>
      </c>
      <c r="B261" s="62" t="s">
        <v>318</v>
      </c>
      <c r="C261" s="60">
        <f t="shared" si="49"/>
        <v>9084.5499999999993</v>
      </c>
      <c r="D261" s="60">
        <v>2635.99</v>
      </c>
      <c r="E261" s="60">
        <v>28678.49</v>
      </c>
      <c r="F261" s="60"/>
      <c r="G261" s="60">
        <v>40399.03</v>
      </c>
      <c r="H261" s="60">
        <f t="shared" si="50"/>
        <v>48478.835999999996</v>
      </c>
      <c r="I261" s="59">
        <v>310524.85519999999</v>
      </c>
      <c r="J261" s="59">
        <f t="shared" ref="J261:J283" si="51">T261-S261</f>
        <v>372629.82623999997</v>
      </c>
      <c r="K261" s="58">
        <v>14.41</v>
      </c>
      <c r="L261" s="59">
        <f t="shared" si="45"/>
        <v>130908.36549999999</v>
      </c>
      <c r="M261" s="58">
        <v>5.8</v>
      </c>
      <c r="N261" s="59">
        <f t="shared" si="46"/>
        <v>15288.741999999998</v>
      </c>
      <c r="O261" s="58">
        <v>5.73</v>
      </c>
      <c r="P261" s="59">
        <f t="shared" si="47"/>
        <v>164327.74770000001</v>
      </c>
      <c r="Q261" s="58"/>
      <c r="R261" s="63"/>
      <c r="S261" s="59">
        <v>0</v>
      </c>
      <c r="T261" s="72">
        <f t="shared" si="48"/>
        <v>372629.82623999997</v>
      </c>
    </row>
    <row r="262" spans="1:20" hidden="1" x14ac:dyDescent="0.25">
      <c r="A262" s="62">
        <v>258</v>
      </c>
      <c r="B262" s="62" t="s">
        <v>319</v>
      </c>
      <c r="C262" s="60">
        <f t="shared" si="49"/>
        <v>18587.019999999997</v>
      </c>
      <c r="D262" s="60">
        <v>5359.98</v>
      </c>
      <c r="E262" s="60">
        <v>50805.4</v>
      </c>
      <c r="F262" s="60"/>
      <c r="G262" s="60">
        <v>74752.399999999994</v>
      </c>
      <c r="H262" s="60">
        <f t="shared" si="50"/>
        <v>89702.87999999999</v>
      </c>
      <c r="I262" s="59">
        <v>590041.78419999999</v>
      </c>
      <c r="J262" s="59">
        <f t="shared" si="51"/>
        <v>708050.14104000002</v>
      </c>
      <c r="K262" s="58">
        <v>14.41</v>
      </c>
      <c r="L262" s="59">
        <f t="shared" ref="L262:L283" si="52">C262*K262</f>
        <v>267838.95819999994</v>
      </c>
      <c r="M262" s="58">
        <v>5.8</v>
      </c>
      <c r="N262" s="59">
        <f t="shared" ref="N262:N283" si="53">D262*M262</f>
        <v>31087.883999999998</v>
      </c>
      <c r="O262" s="58">
        <v>5.73</v>
      </c>
      <c r="P262" s="59">
        <f t="shared" ref="P262:P283" si="54">E262*O262</f>
        <v>291114.94200000004</v>
      </c>
      <c r="Q262" s="58"/>
      <c r="R262" s="63"/>
      <c r="S262" s="59">
        <v>0</v>
      </c>
      <c r="T262" s="72">
        <f t="shared" si="48"/>
        <v>708050.14104000002</v>
      </c>
    </row>
    <row r="263" spans="1:20" hidden="1" x14ac:dyDescent="0.25">
      <c r="A263" s="62">
        <v>259</v>
      </c>
      <c r="B263" s="62" t="s">
        <v>320</v>
      </c>
      <c r="C263" s="60">
        <f t="shared" si="49"/>
        <v>23106.930000000008</v>
      </c>
      <c r="D263" s="60">
        <v>6052.67</v>
      </c>
      <c r="E263" s="60">
        <v>71782.259999999995</v>
      </c>
      <c r="F263" s="60"/>
      <c r="G263" s="60">
        <v>100941.86</v>
      </c>
      <c r="H263" s="60">
        <f t="shared" si="50"/>
        <v>121130.23199999999</v>
      </c>
      <c r="I263" s="59">
        <v>779388.69710000011</v>
      </c>
      <c r="J263" s="59">
        <f t="shared" si="51"/>
        <v>935266.4365200001</v>
      </c>
      <c r="K263" s="58">
        <v>14.41</v>
      </c>
      <c r="L263" s="59">
        <f t="shared" si="52"/>
        <v>332970.86130000011</v>
      </c>
      <c r="M263" s="58">
        <v>5.8</v>
      </c>
      <c r="N263" s="59">
        <f t="shared" si="53"/>
        <v>35105.485999999997</v>
      </c>
      <c r="O263" s="58">
        <v>5.73</v>
      </c>
      <c r="P263" s="59">
        <f t="shared" si="54"/>
        <v>411312.34980000003</v>
      </c>
      <c r="Q263" s="58"/>
      <c r="R263" s="63"/>
      <c r="S263" s="59">
        <v>0</v>
      </c>
      <c r="T263" s="72">
        <f t="shared" si="48"/>
        <v>935266.4365200001</v>
      </c>
    </row>
    <row r="264" spans="1:20" hidden="1" x14ac:dyDescent="0.25">
      <c r="A264" s="62">
        <v>260</v>
      </c>
      <c r="B264" s="62" t="s">
        <v>321</v>
      </c>
      <c r="C264" s="60">
        <f t="shared" si="49"/>
        <v>16185.529999999999</v>
      </c>
      <c r="D264" s="60">
        <v>3958.3</v>
      </c>
      <c r="E264" s="60">
        <v>41313.199999999997</v>
      </c>
      <c r="F264" s="60"/>
      <c r="G264" s="60">
        <v>61457.03</v>
      </c>
      <c r="H264" s="60">
        <f t="shared" si="50"/>
        <v>73748.436000000002</v>
      </c>
      <c r="I264" s="59">
        <v>492916.26329999999</v>
      </c>
      <c r="J264" s="59">
        <f t="shared" si="51"/>
        <v>591499.51595999999</v>
      </c>
      <c r="K264" s="58">
        <v>14.41</v>
      </c>
      <c r="L264" s="59">
        <f t="shared" si="52"/>
        <v>233233.48729999998</v>
      </c>
      <c r="M264" s="58">
        <v>5.8</v>
      </c>
      <c r="N264" s="59">
        <f t="shared" si="53"/>
        <v>22958.14</v>
      </c>
      <c r="O264" s="58">
        <v>5.73</v>
      </c>
      <c r="P264" s="59">
        <f t="shared" si="54"/>
        <v>236724.636</v>
      </c>
      <c r="Q264" s="58"/>
      <c r="R264" s="63"/>
      <c r="S264" s="59">
        <v>0</v>
      </c>
      <c r="T264" s="72">
        <f t="shared" si="48"/>
        <v>591499.51595999999</v>
      </c>
    </row>
    <row r="265" spans="1:20" hidden="1" x14ac:dyDescent="0.25">
      <c r="A265" s="62">
        <v>261</v>
      </c>
      <c r="B265" s="62" t="s">
        <v>322</v>
      </c>
      <c r="C265" s="60">
        <f t="shared" si="49"/>
        <v>16462.479999999996</v>
      </c>
      <c r="D265" s="60">
        <v>3958.3</v>
      </c>
      <c r="E265" s="60">
        <v>44158.65</v>
      </c>
      <c r="F265" s="60"/>
      <c r="G265" s="60">
        <v>64579.43</v>
      </c>
      <c r="H265" s="60">
        <f t="shared" si="50"/>
        <v>77495.315999999992</v>
      </c>
      <c r="I265" s="59">
        <v>513211.54129999998</v>
      </c>
      <c r="J265" s="59">
        <f t="shared" si="51"/>
        <v>615853.84956</v>
      </c>
      <c r="K265" s="58">
        <v>14.41</v>
      </c>
      <c r="L265" s="59">
        <f t="shared" si="52"/>
        <v>237224.33679999993</v>
      </c>
      <c r="M265" s="58">
        <v>5.8</v>
      </c>
      <c r="N265" s="59">
        <f t="shared" si="53"/>
        <v>22958.14</v>
      </c>
      <c r="O265" s="58">
        <v>5.73</v>
      </c>
      <c r="P265" s="59">
        <f t="shared" si="54"/>
        <v>253029.06450000004</v>
      </c>
      <c r="Q265" s="58"/>
      <c r="R265" s="63"/>
      <c r="S265" s="59">
        <v>0</v>
      </c>
      <c r="T265" s="72">
        <f t="shared" si="48"/>
        <v>615853.84956</v>
      </c>
    </row>
    <row r="266" spans="1:20" hidden="1" x14ac:dyDescent="0.25">
      <c r="A266" s="62">
        <v>262</v>
      </c>
      <c r="B266" s="62" t="s">
        <v>323</v>
      </c>
      <c r="C266" s="60">
        <f t="shared" si="49"/>
        <v>15680.170000000006</v>
      </c>
      <c r="D266" s="60">
        <v>3576.63</v>
      </c>
      <c r="E266" s="60">
        <v>38566.36</v>
      </c>
      <c r="F266" s="60"/>
      <c r="G266" s="60">
        <v>57823.16</v>
      </c>
      <c r="H266" s="60">
        <f t="shared" si="50"/>
        <v>69387.792000000001</v>
      </c>
      <c r="I266" s="59">
        <v>467680.94650000008</v>
      </c>
      <c r="J266" s="59">
        <f t="shared" si="51"/>
        <v>561217.13580000005</v>
      </c>
      <c r="K266" s="58">
        <v>14.41</v>
      </c>
      <c r="L266" s="59">
        <f t="shared" si="52"/>
        <v>225951.24970000007</v>
      </c>
      <c r="M266" s="58">
        <v>5.8</v>
      </c>
      <c r="N266" s="59">
        <f t="shared" si="53"/>
        <v>20744.454000000002</v>
      </c>
      <c r="O266" s="58">
        <v>5.73</v>
      </c>
      <c r="P266" s="59">
        <f t="shared" si="54"/>
        <v>220985.24280000001</v>
      </c>
      <c r="Q266" s="58"/>
      <c r="R266" s="63"/>
      <c r="S266" s="59">
        <v>0</v>
      </c>
      <c r="T266" s="72">
        <f t="shared" si="48"/>
        <v>561217.13580000005</v>
      </c>
    </row>
    <row r="267" spans="1:20" hidden="1" x14ac:dyDescent="0.25">
      <c r="A267" s="62">
        <v>263</v>
      </c>
      <c r="B267" s="62" t="s">
        <v>324</v>
      </c>
      <c r="C267" s="60">
        <f t="shared" si="49"/>
        <v>5129.1200000000008</v>
      </c>
      <c r="D267" s="60">
        <v>943.8</v>
      </c>
      <c r="E267" s="60">
        <v>14703.83</v>
      </c>
      <c r="F267" s="60"/>
      <c r="G267" s="60">
        <v>20776.75</v>
      </c>
      <c r="H267" s="60">
        <f t="shared" si="50"/>
        <v>24932.1</v>
      </c>
      <c r="I267" s="59">
        <v>163637.60510000002</v>
      </c>
      <c r="J267" s="59">
        <f t="shared" si="51"/>
        <v>196365.12612</v>
      </c>
      <c r="K267" s="58">
        <v>14.41</v>
      </c>
      <c r="L267" s="59">
        <f t="shared" si="52"/>
        <v>73910.619200000016</v>
      </c>
      <c r="M267" s="58">
        <v>5.8</v>
      </c>
      <c r="N267" s="59">
        <f t="shared" si="53"/>
        <v>5474.04</v>
      </c>
      <c r="O267" s="58">
        <v>5.73</v>
      </c>
      <c r="P267" s="59">
        <f t="shared" si="54"/>
        <v>84252.945900000006</v>
      </c>
      <c r="Q267" s="58"/>
      <c r="R267" s="63"/>
      <c r="S267" s="59">
        <v>0</v>
      </c>
      <c r="T267" s="72">
        <f t="shared" si="48"/>
        <v>196365.12612</v>
      </c>
    </row>
    <row r="268" spans="1:20" ht="15.75" hidden="1" customHeight="1" x14ac:dyDescent="0.25">
      <c r="A268" s="62">
        <v>264</v>
      </c>
      <c r="B268" s="62" t="s">
        <v>325</v>
      </c>
      <c r="C268" s="60">
        <f t="shared" si="49"/>
        <v>29563.699999999997</v>
      </c>
      <c r="D268" s="60">
        <v>8113.23</v>
      </c>
      <c r="E268" s="60">
        <v>79025.440000000002</v>
      </c>
      <c r="F268" s="60"/>
      <c r="G268" s="60">
        <v>116702.37</v>
      </c>
      <c r="H268" s="60">
        <f t="shared" si="50"/>
        <v>140042.84399999998</v>
      </c>
      <c r="I268" s="59">
        <v>925885.42220000003</v>
      </c>
      <c r="J268" s="59">
        <f t="shared" si="51"/>
        <v>1111062.50664</v>
      </c>
      <c r="K268" s="58">
        <v>14.41</v>
      </c>
      <c r="L268" s="59">
        <f t="shared" si="52"/>
        <v>426012.91699999996</v>
      </c>
      <c r="M268" s="58">
        <v>5.8</v>
      </c>
      <c r="N268" s="59">
        <f t="shared" si="53"/>
        <v>47056.733999999997</v>
      </c>
      <c r="O268" s="58">
        <v>5.73</v>
      </c>
      <c r="P268" s="59">
        <f t="shared" si="54"/>
        <v>452815.77120000008</v>
      </c>
      <c r="Q268" s="58"/>
      <c r="R268" s="63"/>
      <c r="S268" s="59">
        <v>0</v>
      </c>
      <c r="T268" s="72">
        <f t="shared" si="48"/>
        <v>1111062.50664</v>
      </c>
    </row>
    <row r="269" spans="1:20" hidden="1" x14ac:dyDescent="0.25">
      <c r="A269" s="62">
        <v>265</v>
      </c>
      <c r="B269" s="62" t="s">
        <v>326</v>
      </c>
      <c r="C269" s="60">
        <f t="shared" si="49"/>
        <v>12353.359999999997</v>
      </c>
      <c r="D269" s="60">
        <v>3895.72</v>
      </c>
      <c r="E269" s="60">
        <v>22502.3</v>
      </c>
      <c r="F269" s="60"/>
      <c r="G269" s="60">
        <v>38751.379999999997</v>
      </c>
      <c r="H269" s="60">
        <f t="shared" si="50"/>
        <v>46501.655999999995</v>
      </c>
      <c r="I269" s="59">
        <v>329545.27259999997</v>
      </c>
      <c r="J269" s="59">
        <f t="shared" si="51"/>
        <v>395454.32711999997</v>
      </c>
      <c r="K269" s="58">
        <v>14.41</v>
      </c>
      <c r="L269" s="59">
        <f t="shared" si="52"/>
        <v>178011.91759999996</v>
      </c>
      <c r="M269" s="58">
        <v>5.8</v>
      </c>
      <c r="N269" s="59">
        <f t="shared" si="53"/>
        <v>22595.175999999999</v>
      </c>
      <c r="O269" s="58">
        <v>5.73</v>
      </c>
      <c r="P269" s="59">
        <f t="shared" si="54"/>
        <v>128938.179</v>
      </c>
      <c r="Q269" s="58"/>
      <c r="R269" s="63"/>
      <c r="S269" s="59">
        <v>0</v>
      </c>
      <c r="T269" s="72">
        <f t="shared" si="48"/>
        <v>395454.32711999997</v>
      </c>
    </row>
    <row r="270" spans="1:20" hidden="1" x14ac:dyDescent="0.25">
      <c r="A270" s="62">
        <v>266</v>
      </c>
      <c r="B270" s="62" t="s">
        <v>327</v>
      </c>
      <c r="C270" s="60">
        <f t="shared" si="49"/>
        <v>12451.2</v>
      </c>
      <c r="D270" s="60">
        <v>3913.2</v>
      </c>
      <c r="E270" s="60">
        <v>23615.8</v>
      </c>
      <c r="F270" s="60"/>
      <c r="G270" s="60">
        <v>39980.199999999997</v>
      </c>
      <c r="H270" s="60">
        <f t="shared" si="50"/>
        <v>47976.24</v>
      </c>
      <c r="I270" s="59">
        <v>337436.88600000006</v>
      </c>
      <c r="J270" s="59">
        <f t="shared" si="51"/>
        <v>404924.26320000004</v>
      </c>
      <c r="K270" s="58">
        <v>14.41</v>
      </c>
      <c r="L270" s="59">
        <f t="shared" si="52"/>
        <v>179421.79200000002</v>
      </c>
      <c r="M270" s="58">
        <v>5.8</v>
      </c>
      <c r="N270" s="59">
        <f t="shared" si="53"/>
        <v>22696.559999999998</v>
      </c>
      <c r="O270" s="58">
        <v>5.73</v>
      </c>
      <c r="P270" s="59">
        <f t="shared" si="54"/>
        <v>135318.53400000001</v>
      </c>
      <c r="Q270" s="58"/>
      <c r="R270" s="63"/>
      <c r="S270" s="59">
        <v>0</v>
      </c>
      <c r="T270" s="72">
        <f t="shared" si="48"/>
        <v>404924.26320000004</v>
      </c>
    </row>
    <row r="271" spans="1:20" hidden="1" x14ac:dyDescent="0.25">
      <c r="A271" s="62">
        <v>267</v>
      </c>
      <c r="B271" s="62" t="s">
        <v>328</v>
      </c>
      <c r="C271" s="60">
        <f t="shared" si="49"/>
        <v>12738.779999999999</v>
      </c>
      <c r="D271" s="60">
        <v>3899.01</v>
      </c>
      <c r="E271" s="60">
        <v>25934.33</v>
      </c>
      <c r="F271" s="60"/>
      <c r="G271" s="60">
        <v>42572.12</v>
      </c>
      <c r="H271" s="60">
        <f t="shared" si="50"/>
        <v>51086.544000000002</v>
      </c>
      <c r="I271" s="59">
        <v>354783.78870000003</v>
      </c>
      <c r="J271" s="59">
        <f t="shared" si="51"/>
        <v>425740.54644000001</v>
      </c>
      <c r="K271" s="58">
        <v>14.41</v>
      </c>
      <c r="L271" s="59">
        <f t="shared" si="52"/>
        <v>183565.8198</v>
      </c>
      <c r="M271" s="58">
        <v>5.8</v>
      </c>
      <c r="N271" s="59">
        <f t="shared" si="53"/>
        <v>22614.258000000002</v>
      </c>
      <c r="O271" s="58">
        <v>5.73</v>
      </c>
      <c r="P271" s="59">
        <f t="shared" si="54"/>
        <v>148603.71090000003</v>
      </c>
      <c r="Q271" s="58"/>
      <c r="R271" s="63"/>
      <c r="S271" s="59">
        <v>0</v>
      </c>
      <c r="T271" s="72">
        <f t="shared" si="48"/>
        <v>425740.54644000001</v>
      </c>
    </row>
    <row r="272" spans="1:20" hidden="1" x14ac:dyDescent="0.25">
      <c r="A272" s="62">
        <v>268</v>
      </c>
      <c r="B272" s="62" t="s">
        <v>329</v>
      </c>
      <c r="C272" s="60">
        <f t="shared" si="49"/>
        <v>12775.919999999998</v>
      </c>
      <c r="D272" s="60">
        <v>3899.01</v>
      </c>
      <c r="E272" s="60">
        <v>26841.53</v>
      </c>
      <c r="F272" s="60"/>
      <c r="G272" s="60">
        <v>43516.46</v>
      </c>
      <c r="H272" s="60">
        <f t="shared" si="50"/>
        <v>52219.752</v>
      </c>
      <c r="I272" s="59">
        <v>360517.23209999996</v>
      </c>
      <c r="J272" s="59">
        <f t="shared" si="51"/>
        <v>432620.67851999996</v>
      </c>
      <c r="K272" s="58">
        <v>14.41</v>
      </c>
      <c r="L272" s="59">
        <f t="shared" si="52"/>
        <v>184101.00719999996</v>
      </c>
      <c r="M272" s="58">
        <v>5.8</v>
      </c>
      <c r="N272" s="59">
        <f t="shared" si="53"/>
        <v>22614.258000000002</v>
      </c>
      <c r="O272" s="58">
        <v>5.73</v>
      </c>
      <c r="P272" s="59">
        <f t="shared" si="54"/>
        <v>153801.9669</v>
      </c>
      <c r="Q272" s="58"/>
      <c r="R272" s="63"/>
      <c r="S272" s="59">
        <v>0</v>
      </c>
      <c r="T272" s="72">
        <f t="shared" si="48"/>
        <v>432620.67851999996</v>
      </c>
    </row>
    <row r="273" spans="1:20" hidden="1" x14ac:dyDescent="0.25">
      <c r="A273" s="62">
        <v>269</v>
      </c>
      <c r="B273" s="62" t="s">
        <v>330</v>
      </c>
      <c r="C273" s="60">
        <f t="shared" si="49"/>
        <v>12910.079999999998</v>
      </c>
      <c r="D273" s="60">
        <v>3895.72</v>
      </c>
      <c r="E273" s="60">
        <v>28187.45</v>
      </c>
      <c r="F273" s="60"/>
      <c r="G273" s="60">
        <v>44993.25</v>
      </c>
      <c r="H273" s="60">
        <f t="shared" si="50"/>
        <v>53991.9</v>
      </c>
      <c r="I273" s="59">
        <v>370143.51730000001</v>
      </c>
      <c r="J273" s="59">
        <f t="shared" si="51"/>
        <v>444172.22076</v>
      </c>
      <c r="K273" s="58">
        <v>14.41</v>
      </c>
      <c r="L273" s="59">
        <f t="shared" si="52"/>
        <v>186034.25279999999</v>
      </c>
      <c r="M273" s="58">
        <v>5.8</v>
      </c>
      <c r="N273" s="59">
        <f t="shared" si="53"/>
        <v>22595.175999999999</v>
      </c>
      <c r="O273" s="58">
        <v>5.73</v>
      </c>
      <c r="P273" s="59">
        <f t="shared" si="54"/>
        <v>161514.08850000001</v>
      </c>
      <c r="Q273" s="58"/>
      <c r="R273" s="63"/>
      <c r="S273" s="59">
        <v>0</v>
      </c>
      <c r="T273" s="72">
        <f t="shared" si="48"/>
        <v>444172.22076</v>
      </c>
    </row>
    <row r="274" spans="1:20" hidden="1" x14ac:dyDescent="0.25">
      <c r="A274" s="62">
        <v>270</v>
      </c>
      <c r="B274" s="62" t="s">
        <v>72</v>
      </c>
      <c r="C274" s="60">
        <f t="shared" si="49"/>
        <v>1779.3999999999999</v>
      </c>
      <c r="D274" s="60">
        <v>698.81</v>
      </c>
      <c r="E274" s="60">
        <v>1976.66</v>
      </c>
      <c r="F274" s="60"/>
      <c r="G274" s="60">
        <v>4454.87</v>
      </c>
      <c r="H274" s="60">
        <f t="shared" si="50"/>
        <v>5345.8440000000001</v>
      </c>
      <c r="I274" s="59">
        <v>41020.513800000001</v>
      </c>
      <c r="J274" s="59">
        <f t="shared" si="51"/>
        <v>49224.616560000002</v>
      </c>
      <c r="K274" s="58">
        <v>14.41</v>
      </c>
      <c r="L274" s="59">
        <f t="shared" si="52"/>
        <v>25641.153999999999</v>
      </c>
      <c r="M274" s="58">
        <v>5.8</v>
      </c>
      <c r="N274" s="59">
        <f t="shared" si="53"/>
        <v>4053.0979999999995</v>
      </c>
      <c r="O274" s="58">
        <v>5.73</v>
      </c>
      <c r="P274" s="59">
        <f t="shared" si="54"/>
        <v>11326.261800000002</v>
      </c>
      <c r="Q274" s="58"/>
      <c r="R274" s="63"/>
      <c r="S274" s="59">
        <v>0</v>
      </c>
      <c r="T274" s="72">
        <f t="shared" si="48"/>
        <v>49224.616560000002</v>
      </c>
    </row>
    <row r="275" spans="1:20" hidden="1" x14ac:dyDescent="0.25">
      <c r="A275" s="62">
        <v>271</v>
      </c>
      <c r="B275" s="62" t="s">
        <v>74</v>
      </c>
      <c r="C275" s="60">
        <f t="shared" si="49"/>
        <v>3267.3100000000013</v>
      </c>
      <c r="D275" s="60">
        <v>628.79999999999995</v>
      </c>
      <c r="E275" s="60">
        <v>13292.3</v>
      </c>
      <c r="F275" s="60"/>
      <c r="G275" s="60">
        <v>17188.41</v>
      </c>
      <c r="H275" s="60">
        <f t="shared" si="50"/>
        <v>20626.092000000001</v>
      </c>
      <c r="I275" s="59">
        <v>126893.85610000002</v>
      </c>
      <c r="J275" s="59">
        <f t="shared" si="51"/>
        <v>152272.62732000003</v>
      </c>
      <c r="K275" s="58">
        <v>14.41</v>
      </c>
      <c r="L275" s="59">
        <f t="shared" si="52"/>
        <v>47081.937100000017</v>
      </c>
      <c r="M275" s="58">
        <v>5.8</v>
      </c>
      <c r="N275" s="59">
        <f t="shared" si="53"/>
        <v>3647.0399999999995</v>
      </c>
      <c r="O275" s="58">
        <v>5.73</v>
      </c>
      <c r="P275" s="59">
        <f t="shared" si="54"/>
        <v>76164.879000000001</v>
      </c>
      <c r="Q275" s="58"/>
      <c r="R275" s="63"/>
      <c r="S275" s="59">
        <v>0</v>
      </c>
      <c r="T275" s="72">
        <f t="shared" si="48"/>
        <v>152272.62732000003</v>
      </c>
    </row>
    <row r="276" spans="1:20" hidden="1" x14ac:dyDescent="0.25">
      <c r="A276" s="62">
        <v>272</v>
      </c>
      <c r="B276" s="62" t="s">
        <v>75</v>
      </c>
      <c r="C276" s="60">
        <f t="shared" si="49"/>
        <v>2627.8700000000008</v>
      </c>
      <c r="D276" s="60">
        <v>624.39</v>
      </c>
      <c r="E276" s="60">
        <v>7898.5</v>
      </c>
      <c r="F276" s="60"/>
      <c r="G276" s="60">
        <v>11150.76</v>
      </c>
      <c r="H276" s="60">
        <f t="shared" si="50"/>
        <v>13380.912</v>
      </c>
      <c r="I276" s="59">
        <v>86747.473700000017</v>
      </c>
      <c r="J276" s="59">
        <f t="shared" si="51"/>
        <v>104096.96844000001</v>
      </c>
      <c r="K276" s="58">
        <v>14.41</v>
      </c>
      <c r="L276" s="59">
        <f t="shared" si="52"/>
        <v>37867.606700000011</v>
      </c>
      <c r="M276" s="58">
        <v>5.8</v>
      </c>
      <c r="N276" s="59">
        <f t="shared" si="53"/>
        <v>3621.462</v>
      </c>
      <c r="O276" s="58">
        <v>5.73</v>
      </c>
      <c r="P276" s="59">
        <f t="shared" si="54"/>
        <v>45258.405000000006</v>
      </c>
      <c r="Q276" s="58"/>
      <c r="R276" s="63"/>
      <c r="S276" s="59">
        <v>0</v>
      </c>
      <c r="T276" s="72">
        <f t="shared" si="48"/>
        <v>104096.96844000001</v>
      </c>
    </row>
    <row r="277" spans="1:20" hidden="1" x14ac:dyDescent="0.25">
      <c r="A277" s="62">
        <v>273</v>
      </c>
      <c r="B277" s="62" t="s">
        <v>331</v>
      </c>
      <c r="C277" s="60">
        <f t="shared" si="49"/>
        <v>112863.29000000004</v>
      </c>
      <c r="D277" s="60">
        <v>28755.35</v>
      </c>
      <c r="E277" s="60">
        <v>454019.73</v>
      </c>
      <c r="F277" s="60"/>
      <c r="G277" s="60">
        <v>595638.37</v>
      </c>
      <c r="H277" s="60">
        <f t="shared" si="50"/>
        <v>714766.04399999999</v>
      </c>
      <c r="I277" s="59">
        <v>4394674.0918000005</v>
      </c>
      <c r="J277" s="59">
        <f t="shared" si="51"/>
        <v>5273608.9101600004</v>
      </c>
      <c r="K277" s="58">
        <v>14.41</v>
      </c>
      <c r="L277" s="59">
        <f t="shared" si="52"/>
        <v>1626360.0089000005</v>
      </c>
      <c r="M277" s="58">
        <v>5.8</v>
      </c>
      <c r="N277" s="59">
        <f t="shared" si="53"/>
        <v>166781.03</v>
      </c>
      <c r="O277" s="58">
        <v>5.73</v>
      </c>
      <c r="P277" s="59">
        <f t="shared" si="54"/>
        <v>2601533.0529</v>
      </c>
      <c r="Q277" s="58"/>
      <c r="R277" s="63"/>
      <c r="S277" s="59">
        <v>0</v>
      </c>
      <c r="T277" s="72">
        <f t="shared" si="48"/>
        <v>5273608.9101600004</v>
      </c>
    </row>
    <row r="278" spans="1:20" hidden="1" x14ac:dyDescent="0.25">
      <c r="A278" s="62">
        <v>274</v>
      </c>
      <c r="B278" s="62" t="s">
        <v>61</v>
      </c>
      <c r="C278" s="60">
        <f t="shared" si="49"/>
        <v>75770.370000000024</v>
      </c>
      <c r="D278" s="60">
        <v>24845.99</v>
      </c>
      <c r="E278" s="60">
        <v>225145.48</v>
      </c>
      <c r="F278" s="60"/>
      <c r="G278" s="60">
        <v>325761.84000000003</v>
      </c>
      <c r="H278" s="60">
        <f t="shared" si="50"/>
        <v>390914.20800000004</v>
      </c>
      <c r="I278" s="59">
        <v>2526041.3741000006</v>
      </c>
      <c r="J278" s="59">
        <f t="shared" si="51"/>
        <v>3031249.6489200005</v>
      </c>
      <c r="K278" s="58">
        <v>14.41</v>
      </c>
      <c r="L278" s="59">
        <f t="shared" si="52"/>
        <v>1091851.0317000004</v>
      </c>
      <c r="M278" s="58">
        <v>5.8</v>
      </c>
      <c r="N278" s="59">
        <f t="shared" si="53"/>
        <v>144106.742</v>
      </c>
      <c r="O278" s="58">
        <v>5.73</v>
      </c>
      <c r="P278" s="59">
        <f t="shared" si="54"/>
        <v>1290083.6004000001</v>
      </c>
      <c r="Q278" s="58"/>
      <c r="R278" s="63"/>
      <c r="S278" s="59">
        <v>0</v>
      </c>
      <c r="T278" s="72">
        <f t="shared" si="48"/>
        <v>3031249.6489200005</v>
      </c>
    </row>
    <row r="279" spans="1:20" hidden="1" x14ac:dyDescent="0.25">
      <c r="A279" s="62">
        <v>275</v>
      </c>
      <c r="B279" s="62" t="s">
        <v>332</v>
      </c>
      <c r="C279" s="60">
        <f t="shared" si="49"/>
        <v>411.16000000000031</v>
      </c>
      <c r="D279" s="60">
        <v>128.27000000000001</v>
      </c>
      <c r="E279" s="60">
        <v>2769.24</v>
      </c>
      <c r="F279" s="60"/>
      <c r="G279" s="60">
        <v>3308.67</v>
      </c>
      <c r="H279" s="60">
        <f t="shared" si="50"/>
        <v>3970.404</v>
      </c>
      <c r="I279" s="59">
        <v>22536.526800000003</v>
      </c>
      <c r="J279" s="59">
        <f t="shared" si="51"/>
        <v>27043.832160000002</v>
      </c>
      <c r="K279" s="58">
        <v>14.41</v>
      </c>
      <c r="L279" s="59">
        <f t="shared" si="52"/>
        <v>5924.8156000000045</v>
      </c>
      <c r="M279" s="58">
        <v>5.8</v>
      </c>
      <c r="N279" s="59">
        <f t="shared" si="53"/>
        <v>743.96600000000001</v>
      </c>
      <c r="O279" s="58">
        <v>5.73</v>
      </c>
      <c r="P279" s="59">
        <f t="shared" si="54"/>
        <v>15867.745199999999</v>
      </c>
      <c r="Q279" s="58"/>
      <c r="R279" s="63"/>
      <c r="S279" s="59">
        <v>0</v>
      </c>
      <c r="T279" s="72">
        <f t="shared" si="48"/>
        <v>27043.832160000002</v>
      </c>
    </row>
    <row r="280" spans="1:20" hidden="1" x14ac:dyDescent="0.25">
      <c r="A280" s="62">
        <v>276</v>
      </c>
      <c r="B280" s="62" t="s">
        <v>73</v>
      </c>
      <c r="C280" s="60">
        <f t="shared" si="49"/>
        <v>59736.06</v>
      </c>
      <c r="D280" s="60">
        <v>25313.14</v>
      </c>
      <c r="E280" s="60">
        <v>334186.01</v>
      </c>
      <c r="F280" s="60"/>
      <c r="G280" s="60">
        <v>419235.21</v>
      </c>
      <c r="H280" s="60">
        <f t="shared" si="50"/>
        <v>503082.25199999998</v>
      </c>
      <c r="I280" s="59">
        <v>2922498.6739000003</v>
      </c>
      <c r="J280" s="59">
        <f t="shared" si="51"/>
        <v>3506998.4086800003</v>
      </c>
      <c r="K280" s="58">
        <v>14.41</v>
      </c>
      <c r="L280" s="59">
        <f t="shared" si="52"/>
        <v>860796.62459999998</v>
      </c>
      <c r="M280" s="58">
        <v>5.8</v>
      </c>
      <c r="N280" s="59">
        <f t="shared" si="53"/>
        <v>146816.212</v>
      </c>
      <c r="O280" s="58">
        <v>5.73</v>
      </c>
      <c r="P280" s="59">
        <f t="shared" si="54"/>
        <v>1914885.8373000002</v>
      </c>
      <c r="Q280" s="58"/>
      <c r="R280" s="63"/>
      <c r="S280" s="59">
        <v>0</v>
      </c>
      <c r="T280" s="72">
        <f t="shared" si="48"/>
        <v>3506998.4086800003</v>
      </c>
    </row>
    <row r="281" spans="1:20" ht="38.25" hidden="1" x14ac:dyDescent="0.25">
      <c r="A281" s="62">
        <v>277</v>
      </c>
      <c r="B281" s="62" t="s">
        <v>361</v>
      </c>
      <c r="C281" s="60">
        <f t="shared" si="49"/>
        <v>1409.87</v>
      </c>
      <c r="D281" s="60">
        <v>126.77</v>
      </c>
      <c r="E281" s="60">
        <v>5230.54</v>
      </c>
      <c r="F281" s="60"/>
      <c r="G281" s="60">
        <v>6767.18</v>
      </c>
      <c r="H281" s="60">
        <f t="shared" si="50"/>
        <v>8120.616</v>
      </c>
      <c r="I281" s="59">
        <v>51022.486900000004</v>
      </c>
      <c r="J281" s="59">
        <f t="shared" si="51"/>
        <v>61226.984280000004</v>
      </c>
      <c r="K281" s="58">
        <v>14.41</v>
      </c>
      <c r="L281" s="59">
        <f t="shared" si="52"/>
        <v>20316.226699999999</v>
      </c>
      <c r="M281" s="58">
        <v>5.8</v>
      </c>
      <c r="N281" s="59">
        <f t="shared" si="53"/>
        <v>735.26599999999996</v>
      </c>
      <c r="O281" s="58">
        <v>5.73</v>
      </c>
      <c r="P281" s="59">
        <f t="shared" si="54"/>
        <v>29970.994200000001</v>
      </c>
      <c r="Q281" s="58"/>
      <c r="R281" s="63"/>
      <c r="S281" s="59">
        <v>0</v>
      </c>
      <c r="T281" s="72">
        <f t="shared" si="48"/>
        <v>61226.984280000004</v>
      </c>
    </row>
    <row r="282" spans="1:20" hidden="1" x14ac:dyDescent="0.25">
      <c r="A282" s="62">
        <v>278</v>
      </c>
      <c r="B282" s="62" t="s">
        <v>333</v>
      </c>
      <c r="C282" s="60">
        <f t="shared" si="49"/>
        <v>49429.81</v>
      </c>
      <c r="D282" s="60">
        <v>11460.67</v>
      </c>
      <c r="E282" s="60">
        <v>69960.740000000005</v>
      </c>
      <c r="F282" s="60"/>
      <c r="G282" s="60">
        <v>130851.22</v>
      </c>
      <c r="H282" s="60">
        <f t="shared" si="50"/>
        <v>157021.46400000001</v>
      </c>
      <c r="I282" s="59">
        <v>1179630.4882999999</v>
      </c>
      <c r="J282" s="59">
        <f t="shared" si="51"/>
        <v>1415556.5859599998</v>
      </c>
      <c r="K282" s="58">
        <v>14.41</v>
      </c>
      <c r="L282" s="59">
        <f t="shared" si="52"/>
        <v>712283.56209999998</v>
      </c>
      <c r="M282" s="58">
        <v>5.8</v>
      </c>
      <c r="N282" s="59">
        <f t="shared" si="53"/>
        <v>66471.885999999999</v>
      </c>
      <c r="O282" s="58">
        <v>5.73</v>
      </c>
      <c r="P282" s="59">
        <f t="shared" si="54"/>
        <v>400875.04020000005</v>
      </c>
      <c r="Q282" s="58"/>
      <c r="R282" s="63"/>
      <c r="S282" s="59">
        <v>0</v>
      </c>
      <c r="T282" s="72">
        <f t="shared" si="48"/>
        <v>1415556.5859599998</v>
      </c>
    </row>
    <row r="283" spans="1:20" hidden="1" x14ac:dyDescent="0.25">
      <c r="A283" s="62">
        <v>279</v>
      </c>
      <c r="B283" s="62" t="s">
        <v>334</v>
      </c>
      <c r="C283" s="60">
        <f t="shared" si="49"/>
        <v>1122801.6100000001</v>
      </c>
      <c r="D283" s="60">
        <v>11579</v>
      </c>
      <c r="E283" s="60"/>
      <c r="F283" s="60"/>
      <c r="G283" s="60">
        <v>1134380.6100000001</v>
      </c>
      <c r="H283" s="60">
        <f t="shared" si="50"/>
        <v>1361256.7320000001</v>
      </c>
      <c r="I283" s="59">
        <v>16246729.4001</v>
      </c>
      <c r="J283" s="59">
        <f t="shared" si="51"/>
        <v>19496075.28012</v>
      </c>
      <c r="K283" s="58">
        <v>14.41</v>
      </c>
      <c r="L283" s="59">
        <f t="shared" si="52"/>
        <v>16179571.200100001</v>
      </c>
      <c r="M283" s="58">
        <v>5.8</v>
      </c>
      <c r="N283" s="59">
        <f t="shared" si="53"/>
        <v>67158.2</v>
      </c>
      <c r="O283" s="58">
        <v>5.73</v>
      </c>
      <c r="P283" s="59">
        <f t="shared" si="54"/>
        <v>0</v>
      </c>
      <c r="Q283" s="58"/>
      <c r="R283" s="63"/>
      <c r="S283" s="59">
        <v>0</v>
      </c>
      <c r="T283" s="72">
        <f t="shared" si="48"/>
        <v>19496075.28012</v>
      </c>
    </row>
  </sheetData>
  <autoFilter ref="A2:S283" xr:uid="{00000000-0009-0000-0000-000001000000}">
    <filterColumn colId="1">
      <filters>
        <filter val="ГНБ 1 км 1 труба 160 мм кабель АСБ 3*240"/>
        <filter val="ГНБ 1 км 2 трубы 110 мм.(одна-резерв) кабель АПвБбШп 4*50"/>
        <filter val="ГНБ 1 км 2 трубы 160 мм (одна-резерв) без  кабеля"/>
        <filter val="ГНБ 1 км 2 трубы 160 мм (одна-резерв) кабель АПвБШп 4*120"/>
        <filter val="ГНБ 1 км 2 трубы 160 мм (одна-резерв) кабель АСБ 3*150"/>
        <filter val="ГНБ 1 км 2 трубы 160 мм (одна-резерв) кабель АСБ 3*240"/>
        <filter val="ГНБ 1 км 2 трубы 225 мм (одна-резерв) кабель АПвПу2г 1*630/70"/>
        <filter val="ГНБ 1 км 3 трубы 160 мм (одна-резерв) без кабеля"/>
        <filter val="ГНБ 1 км 3 трубы 160 мм (одна-резерв) кабель АПвПу2r 1*120/70"/>
        <filter val="ГНБ 1 км 3 трубы 160 мм (одна-резерв) кабель АПвПу2r 1*240/70"/>
        <filter val="ГНБ 1 км 3 трубы 160 мм (одна-резерв) кабель АСБ 3*120"/>
        <filter val="ГНБ 1 км 3 трубы 160 мм (одна-резерв) кабель АСБ 3*150"/>
        <filter val="ГНБ 1 км 3 трубы 160 мм (одна-резерв) кабель АСБ 3*240"/>
        <filter val="ГНБ 1 км 3 трубы 225 мм (две-резерв) кабель АПвПу2г 1*630/50"/>
        <filter val="ГНБ 1 км 4 трубы 225 мм (две-резерв) кабель АПвПу2г 1*630/50"/>
      </filters>
    </filterColumn>
    <filterColumn colId="17">
      <filters blank="1">
        <filter val="1 182 480,30"/>
        <filter val="1 289 830,76"/>
        <filter val="1 291 931,70"/>
        <filter val="1 392 566,16"/>
        <filter val="1 717 563,72"/>
        <filter val="1 725 315,78"/>
        <filter val="1 931 407,50"/>
        <filter val="11 744 995,10"/>
        <filter val="12 276 064,04"/>
        <filter val="13 432 528,44"/>
        <filter val="14 612 068,61"/>
        <filter val="156 720,14"/>
        <filter val="18 005 909,89"/>
        <filter val="19 007 584,13"/>
        <filter val="195 791,50"/>
        <filter val="2 009 328,62"/>
        <filter val="2 422 613,39"/>
        <filter val="2 500 820,86"/>
        <filter val="200 523,67"/>
        <filter val="21 039 632,89"/>
        <filter val="21 825,33"/>
        <filter val="258 794,04"/>
        <filter val="267 196,82"/>
        <filter val="268 277,61"/>
        <filter val="276 273,55"/>
        <filter val="291 264,47"/>
        <filter val="3 048 887,22"/>
        <filter val="3 387 171,37"/>
        <filter val="3 498 810,95"/>
        <filter val="3 664 792,71"/>
        <filter val="3 708 890,07"/>
        <filter val="313 440,40"/>
        <filter val="325 926,00"/>
        <filter val="35 628 304,09"/>
        <filter val="350 009,81"/>
        <filter val="4 108 723,86"/>
        <filter val="4 161 612,39"/>
        <filter val="4 290 499,14"/>
        <filter val="4 352 736,83"/>
        <filter val="4 391 082,44"/>
        <filter val="4 724 095,98"/>
        <filter val="401 047,27"/>
        <filter val="419 745,07"/>
        <filter val="5 974 174,41"/>
        <filter val="508 946,29"/>
        <filter val="511 491,81"/>
        <filter val="534 185,35"/>
        <filter val="645 890,53"/>
        <filter val="651 642,44"/>
        <filter val="7 411 523,53"/>
        <filter val="7 794 892,53"/>
        <filter val="700 019,56"/>
        <filter val="706 612,16"/>
        <filter val="839 490,08"/>
        <filter val="858 499,98"/>
        <filter val="862 101,17"/>
        <filter val="956 313,88"/>
      </filters>
    </filterColumn>
  </autoFilter>
  <pageMargins left="0.23622047244094491" right="0.23622047244094491" top="0.35433070866141736" bottom="0.35433070866141736" header="0" footer="0"/>
  <pageSetup paperSize="9" scale="92" fitToHeight="12" orientation="portrait" r:id="rId1"/>
  <rowBreaks count="2" manualBreakCount="2">
    <brk id="89" max="16383" man="1"/>
    <brk id="1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стоимости ИП</vt:lpstr>
      <vt:lpstr>Наименование работ</vt:lpstr>
      <vt:lpstr>'Наименование работ'!Область_печати</vt:lpstr>
      <vt:lpstr>'Расчет стоимости ИП'!Область_печати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2022-06-10T11:14:19Z</cp:lastPrinted>
  <dcterms:created xsi:type="dcterms:W3CDTF">2021-07-06T05:30:42Z</dcterms:created>
  <dcterms:modified xsi:type="dcterms:W3CDTF">2022-10-12T08:58:34Z</dcterms:modified>
</cp:coreProperties>
</file>