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Рабочий формат ИПР\ССР\"/>
    </mc:Choice>
  </mc:AlternateContent>
  <bookViews>
    <workbookView xWindow="0" yWindow="0" windowWidth="12645" windowHeight="11340" tabRatio="581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тек.ц.!$A$1:$H$75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9" i="2" l="1"/>
  <c r="H69" i="2" s="1"/>
  <c r="G68" i="2"/>
  <c r="H68" i="2" s="1"/>
  <c r="G67" i="2"/>
  <c r="H67" i="2" s="1"/>
  <c r="G66" i="2"/>
  <c r="H66" i="2" s="1"/>
  <c r="G65" i="2"/>
  <c r="G55" i="2"/>
  <c r="H55" i="2" s="1"/>
  <c r="G54" i="2"/>
  <c r="H54" i="2" s="1"/>
  <c r="G53" i="2"/>
  <c r="G52" i="2"/>
  <c r="G51" i="2"/>
  <c r="H51" i="2" s="1"/>
  <c r="G50" i="2"/>
  <c r="H50" i="2" s="1"/>
  <c r="G49" i="2"/>
  <c r="H49" i="2" s="1"/>
  <c r="G48" i="2"/>
  <c r="D31" i="2" s="1"/>
  <c r="H31" i="2" s="1"/>
  <c r="G47" i="2"/>
  <c r="H47" i="2" s="1"/>
  <c r="G46" i="2"/>
  <c r="H46" i="2" s="1"/>
  <c r="D42" i="2"/>
  <c r="D43" i="2" s="1"/>
  <c r="D38" i="2"/>
  <c r="H38" i="2" s="1"/>
  <c r="D37" i="2"/>
  <c r="F29" i="2"/>
  <c r="E33" i="2"/>
  <c r="E32" i="2"/>
  <c r="E31" i="2"/>
  <c r="E30" i="2"/>
  <c r="E29" i="2"/>
  <c r="D33" i="2"/>
  <c r="H33" i="2" s="1"/>
  <c r="D32" i="2"/>
  <c r="H32" i="2" s="1"/>
  <c r="D30" i="2"/>
  <c r="H30" i="2" s="1"/>
  <c r="D29" i="2"/>
  <c r="G26" i="2"/>
  <c r="H26" i="2" s="1"/>
  <c r="G25" i="2"/>
  <c r="G27" i="2" s="1"/>
  <c r="G24" i="2"/>
  <c r="F70" i="2"/>
  <c r="E70" i="2"/>
  <c r="D70" i="2"/>
  <c r="H65" i="2"/>
  <c r="F62" i="2"/>
  <c r="E62" i="2"/>
  <c r="D62" i="2"/>
  <c r="F57" i="2"/>
  <c r="E57" i="2"/>
  <c r="D57" i="2"/>
  <c r="H53" i="2"/>
  <c r="H52" i="2"/>
  <c r="H48" i="2"/>
  <c r="G43" i="2"/>
  <c r="F43" i="2"/>
  <c r="E43" i="2"/>
  <c r="H42" i="2"/>
  <c r="H43" i="2" s="1"/>
  <c r="G39" i="2"/>
  <c r="F39" i="2"/>
  <c r="E39" i="2"/>
  <c r="H37" i="2"/>
  <c r="G34" i="2"/>
  <c r="F34" i="2"/>
  <c r="F35" i="2" s="1"/>
  <c r="F40" i="2" s="1"/>
  <c r="F44" i="2" s="1"/>
  <c r="F58" i="2" s="1"/>
  <c r="F63" i="2" s="1"/>
  <c r="F71" i="2" s="1"/>
  <c r="F27" i="2"/>
  <c r="E27" i="2"/>
  <c r="D27" i="2"/>
  <c r="H25" i="2"/>
  <c r="D73" i="1"/>
  <c r="H39" i="1"/>
  <c r="G39" i="1"/>
  <c r="E39" i="1"/>
  <c r="F39" i="1"/>
  <c r="D39" i="1"/>
  <c r="H38" i="1"/>
  <c r="D29" i="1"/>
  <c r="E29" i="1"/>
  <c r="E34" i="1" s="1"/>
  <c r="D31" i="1"/>
  <c r="D30" i="1"/>
  <c r="H30" i="1" s="1"/>
  <c r="E31" i="1"/>
  <c r="E30" i="1"/>
  <c r="G46" i="1"/>
  <c r="E32" i="1"/>
  <c r="D32" i="1"/>
  <c r="H32" i="1" s="1"/>
  <c r="D33" i="1"/>
  <c r="D38" i="1"/>
  <c r="F29" i="1"/>
  <c r="F34" i="1" s="1"/>
  <c r="E33" i="1"/>
  <c r="G49" i="1"/>
  <c r="G48" i="1"/>
  <c r="H48" i="1" s="1"/>
  <c r="G47" i="1"/>
  <c r="H47" i="1" s="1"/>
  <c r="D42" i="1"/>
  <c r="D37" i="1"/>
  <c r="G26" i="1"/>
  <c r="G25" i="1"/>
  <c r="G24" i="1"/>
  <c r="G55" i="1"/>
  <c r="G54" i="1"/>
  <c r="G53" i="1"/>
  <c r="H53" i="1" s="1"/>
  <c r="G52" i="1"/>
  <c r="H52" i="1" s="1"/>
  <c r="G51" i="1"/>
  <c r="H51" i="1" s="1"/>
  <c r="H55" i="1"/>
  <c r="G50" i="1"/>
  <c r="H50" i="1" s="1"/>
  <c r="H49" i="1"/>
  <c r="H54" i="1"/>
  <c r="G69" i="1"/>
  <c r="H69" i="1" s="1"/>
  <c r="G68" i="1"/>
  <c r="H68" i="1" s="1"/>
  <c r="G67" i="1"/>
  <c r="H67" i="1" s="1"/>
  <c r="G66" i="1"/>
  <c r="H66" i="1" s="1"/>
  <c r="G65" i="1"/>
  <c r="G34" i="1"/>
  <c r="E57" i="1"/>
  <c r="F57" i="1"/>
  <c r="D57" i="1"/>
  <c r="E70" i="1"/>
  <c r="F70" i="1"/>
  <c r="D70" i="1"/>
  <c r="E27" i="1"/>
  <c r="F27" i="1"/>
  <c r="D27" i="1"/>
  <c r="G70" i="2" l="1"/>
  <c r="H70" i="2" s="1"/>
  <c r="H39" i="2"/>
  <c r="E34" i="2"/>
  <c r="E35" i="2" s="1"/>
  <c r="E40" i="2" s="1"/>
  <c r="E44" i="2" s="1"/>
  <c r="E58" i="2" s="1"/>
  <c r="E63" i="2" s="1"/>
  <c r="E71" i="2" s="1"/>
  <c r="G35" i="2"/>
  <c r="G40" i="2" s="1"/>
  <c r="G44" i="2" s="1"/>
  <c r="H29" i="2"/>
  <c r="D34" i="2"/>
  <c r="F73" i="2"/>
  <c r="F74" i="2" s="1"/>
  <c r="H24" i="2"/>
  <c r="H27" i="2" s="1"/>
  <c r="D39" i="2"/>
  <c r="H31" i="1"/>
  <c r="D34" i="1"/>
  <c r="D35" i="1" s="1"/>
  <c r="H33" i="1"/>
  <c r="G27" i="1"/>
  <c r="G70" i="1"/>
  <c r="H70" i="1" s="1"/>
  <c r="E73" i="2" l="1"/>
  <c r="E74" i="2" s="1"/>
  <c r="F75" i="2"/>
  <c r="H34" i="2"/>
  <c r="H35" i="2" s="1"/>
  <c r="H40" i="2" s="1"/>
  <c r="H44" i="2" s="1"/>
  <c r="D35" i="2"/>
  <c r="D40" i="2" s="1"/>
  <c r="D44" i="2" s="1"/>
  <c r="H34" i="1"/>
  <c r="G60" i="2" l="1"/>
  <c r="G61" i="2"/>
  <c r="H61" i="2" s="1"/>
  <c r="D58" i="2"/>
  <c r="D63" i="2" s="1"/>
  <c r="D71" i="2" s="1"/>
  <c r="E75" i="2"/>
  <c r="D73" i="2" l="1"/>
  <c r="D74" i="2" s="1"/>
  <c r="G62" i="2"/>
  <c r="H62" i="2" s="1"/>
  <c r="H60" i="2"/>
  <c r="G56" i="2" s="1"/>
  <c r="H56" i="2" l="1"/>
  <c r="G57" i="2"/>
  <c r="D75" i="2"/>
  <c r="G58" i="2" l="1"/>
  <c r="G63" i="2" s="1"/>
  <c r="G71" i="2" s="1"/>
  <c r="H57" i="2"/>
  <c r="H58" i="2" s="1"/>
  <c r="H63" i="2" s="1"/>
  <c r="G73" i="2" l="1"/>
  <c r="G74" i="2" s="1"/>
  <c r="H74" i="2" s="1"/>
  <c r="H71" i="2"/>
  <c r="H73" i="2" l="1"/>
  <c r="H75" i="2" s="1"/>
  <c r="G75" i="2"/>
  <c r="D62" i="1" l="1"/>
  <c r="D43" i="1"/>
  <c r="D6" i="2" l="1"/>
  <c r="H26" i="1"/>
  <c r="H24" i="1"/>
  <c r="G43" i="1"/>
  <c r="F43" i="1"/>
  <c r="E43" i="1"/>
  <c r="H42" i="1"/>
  <c r="H37" i="1"/>
  <c r="H43" i="1" l="1"/>
  <c r="H46" i="1"/>
  <c r="E62" i="1" l="1"/>
  <c r="F62" i="1"/>
  <c r="H25" i="1" l="1"/>
  <c r="H27" i="1" s="1"/>
  <c r="H65" i="1"/>
  <c r="D40" i="1" l="1"/>
  <c r="F35" i="1"/>
  <c r="F40" i="1" s="1"/>
  <c r="F44" i="1" s="1"/>
  <c r="F58" i="1" s="1"/>
  <c r="D44" i="1" l="1"/>
  <c r="G35" i="1"/>
  <c r="G40" i="1" s="1"/>
  <c r="G44" i="1" s="1"/>
  <c r="F63" i="1"/>
  <c r="D58" i="1" l="1"/>
  <c r="D63" i="1" s="1"/>
  <c r="D71" i="1" s="1"/>
  <c r="F71" i="1"/>
  <c r="F73" i="1" s="1"/>
  <c r="H29" i="1"/>
  <c r="H35" i="1" s="1"/>
  <c r="H40" i="1" l="1"/>
  <c r="H44" i="1" s="1"/>
  <c r="F75" i="1"/>
  <c r="F74" i="1"/>
  <c r="E35" i="1" l="1"/>
  <c r="E40" i="1" s="1"/>
  <c r="E44" i="1" s="1"/>
  <c r="D74" i="1"/>
  <c r="G60" i="1" l="1"/>
  <c r="G61" i="1"/>
  <c r="H61" i="1" s="1"/>
  <c r="E58" i="1"/>
  <c r="E63" i="1" s="1"/>
  <c r="E71" i="1" s="1"/>
  <c r="D75" i="1"/>
  <c r="G62" i="1" l="1"/>
  <c r="H62" i="1" s="1"/>
  <c r="H60" i="1"/>
  <c r="E73" i="1"/>
  <c r="G56" i="1" l="1"/>
  <c r="E74" i="1"/>
  <c r="E75" i="1"/>
  <c r="G57" i="1" l="1"/>
  <c r="H57" i="1" s="1"/>
  <c r="H58" i="1" s="1"/>
  <c r="H63" i="1" s="1"/>
  <c r="H56" i="1"/>
  <c r="G58" i="1" l="1"/>
  <c r="G63" i="1" s="1"/>
  <c r="G71" i="1" s="1"/>
  <c r="H71" i="1" s="1"/>
  <c r="H73" i="1" s="1"/>
  <c r="H75" i="1" s="1"/>
  <c r="D6" i="1" s="1"/>
  <c r="G73" i="1" l="1"/>
  <c r="G74" i="1" s="1"/>
  <c r="H74" i="1" s="1"/>
  <c r="G75" i="1" l="1"/>
</calcChain>
</file>

<file path=xl/sharedStrings.xml><?xml version="1.0" encoding="utf-8"?>
<sst xmlns="http://schemas.openxmlformats.org/spreadsheetml/2006/main" count="210" uniqueCount="82">
  <si>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</si>
  <si>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</si>
  <si>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</si>
  <si>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</si>
  <si>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</si>
  <si>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</si>
  <si>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</si>
  <si>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</si>
  <si>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</si>
  <si>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</si>
  <si>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</si>
  <si>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</si>
  <si>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</si>
  <si>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</si>
  <si>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</si>
  <si>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</si>
  <si>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</si>
  <si>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</si>
  <si>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</si>
  <si>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</si>
  <si>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</si>
  <si>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</si>
  <si>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</si>
  <si>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</si>
  <si>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</si>
  <si>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</si>
  <si>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</si>
  <si>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</si>
  <si>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</si>
  <si>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</si>
  <si>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</si>
  <si>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</si>
  <si>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</si>
  <si>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</si>
  <si>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</si>
  <si>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</si>
  <si>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</si>
  <si>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</si>
  <si>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</si>
  <si>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</si>
  <si>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</si>
  <si>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</si>
  <si>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</si>
  <si>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</si>
  <si>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</si>
  <si>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</si>
  <si>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</si>
  <si>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</si>
  <si>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Акт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</si>
  <si>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</si>
  <si>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</si>
  <si>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</si>
  <si>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</si>
  <si>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</si>
  <si>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Всев, Стр-во проектируемой 2БКТП-1 на территории ЖК "ID Кудрово" в г. Кудрово ЛО (21-1-17-1-08-03-0-1234)</t>
  </si>
  <si>
    <t>Пусконаладочные работы Всев, Стр-во проектируемой 2БКТП-1 на территории ЖК "ID Кудрово" в г. Кудрово ЛО (21-1-17-1-08-03-0-1234)</t>
  </si>
  <si>
    <t>Разрешение на допуск в эксплуатацию Всев, Стр-во проектируемой 2БКТП-1 на территории ЖК "ID Кудрово" в г. Кудрово ЛО (21-1-17-1-08-03-0-1234)</t>
  </si>
  <si>
    <t>Проектные работы Всев, Стр-во проектируемой 2БКТП-1 на территории ЖК "ID Кудрово" в г. Кудрово ЛО (21-1-17-1-08-03-0-1234)</t>
  </si>
  <si>
    <t>Строительство 2КЛ-0,4 кВ от 2БКТП-1 на территории ЖК "ID Кудрово" до ГРЩ-1 жилого дома в г. Кудрово ЛО (20-1-17-1-08-03-0-1270 )</t>
  </si>
  <si>
    <t>Проектные работы Строительство 2КЛ-0,4 кВ от 2БКТП-1 на территории ЖК "ID Кудрово" до ГРЩ-1 жилого дома в г. Кудрово ЛО (20-1-17-1-08-03-0-1270 )</t>
  </si>
  <si>
    <t>Разрешение на допуск в эксплуатацию Строительство 2КЛ-0,4 кВ от 2БКТП-1 на территории ЖК "ID Кудрово" до ГРЩ-1 жилого дома в г. Кудрово ЛО (20-1-17-1-08-03-0-1270 )</t>
  </si>
  <si>
    <t>Пусконаладочные работы Строительство 2КЛ-0,4 кВ от 2БКТП-1 на территории ЖК "ID Кудрово" до ГРЩ-1 жилого дома в г. Кудрово ЛО (20-1-17-1-08-03-0-1270 )</t>
  </si>
  <si>
    <t>Строительство 2КЛ-0,4 кВ от 2БКТП-1 на территории ЖК "ID Кудрово" до ГРЩ-2 жилого дома в г. Кудрово ЛО (20-1-17-1-08-03-0-1262)</t>
  </si>
  <si>
    <t>Пусконаладочные работы Строительство 2КЛ-0,4 кВ от 2БКТП-1 на территории ЖК "ID Кудрово" до ГРЩ-2 жилого дома в г. Кудрово ЛО (20-1-17-1-08-03-0-1262)</t>
  </si>
  <si>
    <t>Разрешение на допуск в эксплуатацию Строительство 2КЛ-0,4 кВ от 2БКТП-1 на территории ЖК "ID Кудрово" до ГРЩ-2 жилого дома в г. Кудрово ЛО (20-1-17-1-08-03-0-1262)</t>
  </si>
  <si>
    <t>Проектные работы Строительство 2КЛ-0,4 кВ от 2БКТП-1 на территории ЖК "ID Кудрово" до ГРЩ-2 жилого дома в г. Кудрово ЛО (20-1-17-1-08-03-0-1262)</t>
  </si>
  <si>
    <t>Строительство 2КЛ-10 кВ от ТП-350 до проектируемой 2БКТП-1 на территории ЖК "ID Кудрово" в г. Кудрово ЛО (20-1-17-1-08-03-0-1260)</t>
  </si>
  <si>
    <t>Схема границ Строительство 2КЛ-10 кВ от ТП-350 до проектируемой 2БКТП-1 на территории ЖК "ID Кудрово" в г. Кудрово ЛО (20-1-17-1-08-03-0-1260)</t>
  </si>
  <si>
    <t>Аренда земельного участка Строительство 2КЛ-10 кВ от ТП-350 до проектируемой 2БКТП-1 на территории ЖК "ID Кудрово" в г. Кудрово ЛО (20-1-17-1-08-03-0-1260)</t>
  </si>
  <si>
    <t>Разрешение на допуск в эксплуатацию Строительство 2КЛ-10 кВ от ТП-350 до проектируемой 2БКТП-1 на территории ЖК "ID Кудрово" в г. Кудрово ЛО (20-1-17-1-08-03-0-1260)</t>
  </si>
  <si>
    <t>Проектные работы Строительство 2КЛ-10 кВ от ТП-350 до проектируемой 2БКТП-1 на территории ЖК "ID Кудрово" в г. Кудрово ЛО (20-1-17-1-08-03-0-1260)</t>
  </si>
  <si>
    <t>Схема границ Всев, Стр-во 2КЛ-10 кВ от проектируемой 2БКТП-1 до проектируемой 2БКРТП-10/0,4кВ на территории ЖК "ID Кудрово" в г. Кудрово ЛО (20-1-17-1-08-03-0-1266</t>
  </si>
  <si>
    <t>Всев, Стр-во 2КЛ-10 кВ от проектируемой 2БКТП-1 до проектируемой 2БКРТП-10/0,4кВ на территории ЖК "ID Кудрово" в г. Кудрово ЛО (20-1-17-1-08-03-0-1266</t>
  </si>
  <si>
    <t>Пусконаладочные работы Всев, Стр-во 2КЛ-10 кВ от проектируемой 2БКТП-1 до проектируемой 2БКРТП-10/0,4кВ на территории ЖК "ID Кудрово" в г. Кудрово ЛО (20-1-17-1-08-03-0-1266</t>
  </si>
  <si>
    <t>Разрешение на допуск в эксплуатацию Всев, Стр-во 2КЛ-10 кВ от проектируемой 2БКТП-1 до проектируемой 2БКРТП-10/0,4кВ на территории ЖК "ID Кудрово" в г. Кудрово ЛО (20-1-17-1-08-03-0-1266</t>
  </si>
  <si>
    <t>Контрольно-исполнительная съемка Всев, Стр-во 2КЛ-10 кВ от проектируемой 2БКТП-1 до проектируемой 2БКРТП-10/0,4кВ на территории ЖК "ID Кудрово" в г. Кудрово ЛО (20-1-17-1-08-03-0-1266</t>
  </si>
  <si>
    <t>Проектные работы Всев, Стр-во 2КЛ-10 кВ от проектируемой 2БКТП-1 до проектируемой 2БКРТП-10/0,4кВ на территории ЖК "ID Кудрово" в г. Кудрово ЛО (20-1-17-1-08-03-0-1266</t>
  </si>
  <si>
    <t>Всев, Стр-во проектируемой 2БКТП-1 на территории ЖК "ID Кудрово" в г. Кудрово ЛО (21-1-17-1-08-03-0-1234)
Строительство 2КЛ-0,4 кВ от 2БКТП-1 на территории ЖК "ID Кудрово" до ГРЩ-1 жилого дома в г. Кудрово ЛО (20-1-17-1-08-03-0-1270 )
Строительство 2КЛ-0,4 кВ от 2БКТП-1 на территории ЖК "ID Кудрово" до ГРЩ-2 жилого дома в г. Кудрово ЛО (20-1-17-1-08-03-0-1262)
Строительство 2КЛ-10 кВ от ТП-350 до проектируемой 2БКТП-1 на территории ЖК "ID Кудрово" в г. Кудрово ЛО (20-1-17-1-08-03-0-1260)
Всев, Стр-во 2КЛ-10 кВ от проектируемой 2БКТП-1 до проектируемой 2БКРТП-10/0,4кВ на территории ЖК "ID Кудрово" в г. Кудрово ЛО (20-1-17-1-08-03-0-1266)</t>
  </si>
  <si>
    <t>Схема границ Всев, Стр-во 2КЛ-10 кВ от проектируемой 2БКТП-1 до проектируемой 2БКРТП-10/0,4кВ на территории ЖК "ID Кудрово" в г. Кудрово ЛО (20-1-17-1-08-03-0-1266)</t>
  </si>
  <si>
    <t>Всев, Стр-во 2КЛ-10 кВ от проектируемой 2БКТП-1 до проектируемой 2БКРТП-10/0,4кВ на территории ЖК "ID Кудрово" в г. Кудрово ЛО (20-1-17-1-08-03-0-1266)</t>
  </si>
  <si>
    <t>Контрольно-исполнительная съемка Всев, Стр-во 2КЛ-10 кВ от проектируемой 2БКТП-1 до проектируемой 2БКРТП-10/0,4кВ на территории ЖК "ID Кудрово" в г. Кудрово ЛО (20-1-17-1-08-03-0-1266)</t>
  </si>
  <si>
    <t>Проектные работы Всев, Стр-во 2КЛ-10 кВ от проектируемой 2БКТП-1 до проектируемой 2БКРТП-10/0,4кВ на территории ЖК "ID Кудрово" в г. Кудрово ЛО (20-1-17-1-08-03-0-1266)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</si>
</sst>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center" vertical="center"/>
    </xf>
    <xf numFmtId="4" fontId="1" fillId="0" borderId="3" xfId="1" applyNumberFormat="1" applyFont="1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49" fontId="1" fillId="0" borderId="0" xfId="0" applyNumberFormat="1" applyFont="1" applyFill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1" fillId="0" borderId="0" xfId="0" applyFont="1" applyFill="1"/>
    <xf numFmtId="49" fontId="1" fillId="0" borderId="2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/>
    </xf>
    <xf numFmtId="4" fontId="1" fillId="0" borderId="3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top"/>
    </xf>
    <xf numFmtId="49" fontId="1" fillId="0" borderId="3" xfId="0" quotePrefix="1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vertical="top"/>
    </xf>
    <xf numFmtId="49" fontId="2" fillId="0" borderId="3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2" fillId="0" borderId="5" xfId="0" applyNumberFormat="1" applyFont="1" applyFill="1" applyBorder="1" applyAlignment="1">
      <alignment horizontal="right" vertical="top" wrapText="1"/>
    </xf>
    <xf numFmtId="49" fontId="2" fillId="0" borderId="6" xfId="0" applyNumberFormat="1" applyFont="1" applyFill="1" applyBorder="1" applyAlignment="1">
      <alignment horizontal="right" vertical="top" wrapText="1"/>
    </xf>
    <xf numFmtId="49" fontId="2" fillId="0" borderId="7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8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Д ПНР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Приложение 2"/>
      <sheetName val="эл_химз_3"/>
      <sheetName val="КП_(2)1"/>
      <sheetName val="свод_31"/>
      <sheetName val="СМЕТА_проект1"/>
      <sheetName val="1_31"/>
      <sheetName val="К_рын1"/>
      <sheetName val="Сводная_смета1"/>
      <sheetName val="Переменные_и_константы1"/>
      <sheetName val="СметаСводная_павильон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р_Волхов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Раб_АУ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ДДС_(Форма_№3)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6_31"/>
      <sheetName val="6_71"/>
      <sheetName val="6_3_1_31"/>
      <sheetName val="Смета2_проект__раб_2"/>
      <sheetName val="Смета_12"/>
      <sheetName val="Production_and_Spend1"/>
      <sheetName val="Прайс_лист2"/>
      <sheetName val="См_1_наруж_водопровод2"/>
      <sheetName val="Разработка_проекта2"/>
      <sheetName val="КП_НовоКов2"/>
      <sheetName val="СметаСводная_1_оч2"/>
      <sheetName val="свод_(2)1"/>
      <sheetName val="Калплан_ОИ2_Макм_крестики1"/>
      <sheetName val="Св__смета1"/>
      <sheetName val="РБС_ИЗМ11"/>
      <sheetName val="Таблица_21"/>
      <sheetName val="ст_ГТМ1"/>
      <sheetName val="кп_ГК1"/>
      <sheetName val="Справочные_данные1"/>
      <sheetName val="суб_подряд2"/>
      <sheetName val="ПСБ_-_ОЭ2"/>
      <sheetName val="смета_СИД1"/>
      <sheetName val="ресурсная_вед_1"/>
      <sheetName val="КП_к_ГК1"/>
      <sheetName val="изыскания_21"/>
      <sheetName val="Калплан_Кра1"/>
      <sheetName val="6_11_новый1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. данные"/>
      <sheetName val="ТЗ_АСУ-1"/>
      <sheetName val="лч_и_кам"/>
      <sheetName val="ИД_СМР"/>
      <sheetName val="Вспом_"/>
      <sheetName val="Бл_электр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КБК_ДПК"/>
      <sheetName val="ЕТС_(ф)"/>
      <sheetName val="Main_list"/>
      <sheetName val="ПД-2_2"/>
      <sheetName val="1_14"/>
      <sheetName val="1_7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Данные_для_расчёта_сметы3"/>
      <sheetName val="Текущие_цены3"/>
      <sheetName val="свод_23"/>
      <sheetName val="Зап-3-_СЦБ3"/>
      <sheetName val="к_84-к_833"/>
      <sheetName val="отчет_эл_эн__20003"/>
      <sheetName val="Пример_расчета3"/>
      <sheetName val="СметаСводная_Рыб3"/>
      <sheetName val="13_12"/>
      <sheetName val="6_32"/>
      <sheetName val="6_72"/>
      <sheetName val="6_3_1_32"/>
      <sheetName val="Коэфф1_3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РС_1"/>
      <sheetName val="Баланс_(Ф1)1"/>
      <sheetName val="Смета_3_Гидролог1"/>
      <sheetName val="Записка_СЦБ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ТЗ_АСУ-11"/>
      <sheetName val="лч_и_кам1"/>
      <sheetName val="Бл_электр_1"/>
      <sheetName val="2_Геология1"/>
      <sheetName val="Объем_работ1"/>
      <sheetName val="Виды_работ_АСО1"/>
      <sheetName val="таблица_руко "/>
      <sheetName val="ИД_СМР1"/>
      <sheetName val="ФОТ_для_смет1"/>
      <sheetName val="КБК_ДПК1"/>
      <sheetName val="Main_list1"/>
      <sheetName val="ПД-2_21"/>
      <sheetName val="1_141"/>
      <sheetName val="1_71"/>
      <sheetName val="Вспом_1"/>
      <sheetName val="ЕТС_(ф)1"/>
      <sheetName val="Имя"/>
      <sheetName val="Пра_x0000_с_лист"/>
      <sheetName val="исключ ЭХЗ"/>
      <sheetName val="БДР"/>
      <sheetName val="3 Сл.-структура затрат"/>
      <sheetName val="геол"/>
      <sheetName val="41"/>
      <sheetName val=" Свод"/>
      <sheetName val="Договорная цена"/>
      <sheetName val="ГАЗ_камаз"/>
      <sheetName val="Промер глуб"/>
      <sheetName val="Расчет №1.1"/>
      <sheetName val="Расчет №2.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 refreshError="1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ПС"/>
      <sheetName val="Форма 2.1"/>
      <sheetName val="СМЕТА_проект1"/>
      <sheetName val="1_31"/>
      <sheetName val="К_рын1"/>
      <sheetName val="Сводная_смета1"/>
      <sheetName val="РС_"/>
      <sheetName val="СметаСводная_Колпино1"/>
      <sheetName val="справ_2"/>
      <sheetName val="СметаСводная_снег1"/>
      <sheetName val="свод_31"/>
      <sheetName val="Переменные_и_константы1"/>
      <sheetName val="13_11"/>
      <sheetName val="КП_(2)1"/>
      <sheetName val="СметаСводная_павильон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Б_Сатка1"/>
      <sheetName val="Перечень_ИУ1"/>
      <sheetName val="3_1_ТХ1"/>
      <sheetName val="3_5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р_Волхов1"/>
      <sheetName val="Смета_терзем"/>
      <sheetName val="Opex_personnel_(Term_facs)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Коэф_КВ"/>
      <sheetName val="3_11"/>
      <sheetName val="Коммерческие_расходы1"/>
      <sheetName val="СС_замеч_с_ответами1"/>
      <sheetName val="УП__20041"/>
      <sheetName val="Кал_план_Жукова_даты_-_не_надо"/>
      <sheetName val="Пояснение_"/>
      <sheetName val="Капитальные_затраты1"/>
      <sheetName val="ДДС_(Форма_№3)"/>
      <sheetName val="смета_2_проект__работы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СВОДНАЯ_"/>
      <sheetName val="выборка_на22_июня"/>
      <sheetName val="3труба_(П)"/>
      <sheetName val="Объемы_работ_по_ПВ"/>
      <sheetName val="Бл_электр_"/>
      <sheetName val="Таблица_5"/>
      <sheetName val="Таблица_3"/>
      <sheetName val="1_401_2"/>
      <sheetName val="Source_lists"/>
      <sheetName val="PO_Data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писок_объектов"/>
      <sheetName val="Коэффициенты"/>
      <sheetName val="W28"/>
      <sheetName val="сводная (2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  <sheetName val="Проект"/>
      <sheetName val="Текущие показатели"/>
      <sheetName val="№5_СУБ_Инж_защ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  <sheetName val="Исх."/>
      <sheetName val="исх-данные"/>
      <sheetName val="ИД ПН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анализ 2003_2004исполнение МТО"/>
      <sheetName val="Main list"/>
      <sheetName val="Технический лист"/>
      <sheetName val="Тестовый"/>
      <sheetName val="Причины отклонений"/>
      <sheetName val="Статус работы"/>
      <sheetName val="Уровень графика"/>
      <sheetName val="Panduit"/>
      <sheetName val="3_гидромет"/>
      <sheetName val="Приложение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  <sheetName val="ПС"/>
      <sheetName val="таблица_руко_x0019__x0015_ _x0003__x000c__x0011__x0011_"/>
      <sheetName val="Переменные_и_константы1"/>
      <sheetName val="13_11"/>
      <sheetName val="КП_(2)1"/>
      <sheetName val="свод_31"/>
      <sheetName val="СМЕТА_проект1"/>
      <sheetName val="1_31"/>
      <sheetName val="К_рын1"/>
      <sheetName val="Сводная_смета1"/>
      <sheetName val="СметаСводная_павильон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р_Волхов1"/>
      <sheetName val="Смета_терзем"/>
      <sheetName val="Кал_план_Жукова_даты_-_не_надо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СС_замеч_с_ответами1"/>
      <sheetName val="УП__2004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в_работу1"/>
      <sheetName val="20_Кредиты_краткосрочные1"/>
      <sheetName val="Баланс_(Ф1)"/>
      <sheetName val="Общая_часть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Перечень_Заказчиков1"/>
      <sheetName val="Opex_personnel_(Term_facs)1"/>
      <sheetName val="Капитальные_затраты1"/>
      <sheetName val="Коэф_КВ"/>
      <sheetName val="кп_(3)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Таблица_5"/>
      <sheetName val="Таблица_3"/>
      <sheetName val="Объемы_работ_по_ПВ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1_401_2"/>
      <sheetName val="Source_lists"/>
      <sheetName val="PO_Data"/>
      <sheetName val="Полигон_-_ИЭИ_"/>
      <sheetName val="выборка "/>
      <sheetName val="выборка раб"/>
      <sheetName val="эл_химз_3"/>
      <sheetName val="геология_3"/>
      <sheetName val="См_1_наруж_водопровод2"/>
      <sheetName val="свод_22"/>
      <sheetName val="Разработка_проекта2"/>
      <sheetName val="КП_НовоКов2"/>
      <sheetName val="Коэфф1_2"/>
      <sheetName val="Прайс_лист2"/>
      <sheetName val="Данные_для_расчёта_сметы2"/>
      <sheetName val="СметаСводная_1_оч2"/>
      <sheetName val="Пример_расчета2"/>
      <sheetName val="свод_(2)1"/>
      <sheetName val="Калплан_ОИ2_Макм_крестики1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СметаСводная_Рыб2"/>
      <sheetName val="отчет_эл_эн__20002"/>
      <sheetName val="6_31"/>
      <sheetName val="6_71"/>
      <sheetName val="6_3_1_31"/>
      <sheetName val="Смета2_проект__раб_2"/>
      <sheetName val="Смета_12"/>
      <sheetName val="Production_and_Spend1"/>
      <sheetName val="Св__смета1"/>
      <sheetName val="РБС_ИЗМ11"/>
      <sheetName val="Таблица_21"/>
      <sheetName val="ст_ГТМ1"/>
      <sheetName val="кп_ГК1"/>
      <sheetName val="Справочные_данные1"/>
      <sheetName val="суб_подряд2"/>
      <sheetName val="ПСБ_-_ОЭ2"/>
      <sheetName val="смета_СИД1"/>
      <sheetName val="ресурсная_вед_1"/>
      <sheetName val="КП_к_ГК1"/>
      <sheetName val="изыскания_21"/>
      <sheetName val="Калплан_Кра1"/>
      <sheetName val="6_11_новый1"/>
      <sheetName val="лч_и_кам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исключ_ЭХЗ"/>
      <sheetName val="КБК_ДПК"/>
      <sheetName val="См_2_Шатурс_сети__проект_работы"/>
      <sheetName val="ПС_110_кВ_(доп)"/>
      <sheetName val="ТЗ_АСУ-1"/>
      <sheetName val="3_Сл_-структура_затрат"/>
      <sheetName val="эл_химз_4"/>
      <sheetName val="геология_4"/>
      <sheetName val="Коэфф1_3"/>
      <sheetName val="Прайс_лист3"/>
      <sheetName val="Данные_для_расчёта_сметы3"/>
      <sheetName val="См_1_наруж_водопровод3"/>
      <sheetName val="свод_23"/>
      <sheetName val="Разработка_проекта3"/>
      <sheetName val="КП_НовоКов3"/>
      <sheetName val="СметаСводная_1_оч3"/>
      <sheetName val="Переменные_и_константы2"/>
      <sheetName val="Пример_расчета3"/>
      <sheetName val="свод_(2)2"/>
      <sheetName val="Калплан_ОИ2_Макм_крестики2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СметаСводная_Рыб3"/>
      <sheetName val="отчет_эл_эн__20003"/>
      <sheetName val="13_12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1_32"/>
      <sheetName val="К_рын2"/>
      <sheetName val="Сводная_смета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Смета_терзем1"/>
      <sheetName val="Кал_план_Жукова_даты_-_не_надо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СС_замеч_с_ответами2"/>
      <sheetName val="УП__2004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в_работу2"/>
      <sheetName val="20_Кредиты_краткосрочные2"/>
      <sheetName val="6_11_новый2"/>
      <sheetName val="Баланс_(Ф1)1"/>
      <sheetName val="Общая_часть1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Перечень_Заказчиков2"/>
      <sheetName val="Opex_personnel_(Term_facs)2"/>
      <sheetName val="Капитальные_затраты2"/>
      <sheetName val="Коэф_КВ1"/>
      <sheetName val="кп_(3)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Полигон_-_ИЭИ_1"/>
      <sheetName val="3труба_(П)1"/>
      <sheetName val="Объемы_работ_по_ПВ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Таблица_51"/>
      <sheetName val="Таблица_31"/>
      <sheetName val="1_401_21"/>
      <sheetName val="Source_lists1"/>
      <sheetName val="PO_Data1"/>
      <sheetName val="См_3_АСУ1"/>
      <sheetName val="лч_и_кам1"/>
      <sheetName val="Акт_выбора1"/>
      <sheetName val="Сводная_1"/>
      <sheetName val="7_ТХ_Сети_(кор)1"/>
      <sheetName val="Tier_3112081"/>
      <sheetName val="исключ_ЭХЗ1"/>
      <sheetName val="Раб_АУ1"/>
      <sheetName val="См_№7_Эл_1"/>
      <sheetName val="См_№8_Пож_1"/>
      <sheetName val="См_№3_ВиК1"/>
      <sheetName val="Сметы_за_сопровождение1"/>
      <sheetName val="КБК_ДП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ТЗ_АСУ-11"/>
      <sheetName val="3_Сл_-структура_затрат1"/>
      <sheetName val="ПС_110_кВ_(доп)1"/>
      <sheetName val="Бл_электр_1"/>
      <sheetName val="См_2_Шатурс_сети__проект_работ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Данные_для_расчёта_сметы1"/>
      <sheetName val="свод_21"/>
      <sheetName val="свод_31"/>
      <sheetName val="Зап-3-_СЦБ1"/>
      <sheetName val="Коэфф1_1"/>
      <sheetName val="Прайс_лист1"/>
      <sheetName val="Справочные_данные"/>
      <sheetName val="Амур_ДОН1"/>
      <sheetName val="кп_ГК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1"/>
      <sheetName val="К_рын1"/>
      <sheetName val="Сводная_смета1"/>
      <sheetName val="к_84-к_831"/>
      <sheetName val="СМЕТА_проект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13_1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"/>
      <sheetName val="КП_к_ГК"/>
      <sheetName val="Смета_11"/>
      <sheetName val="Таблица_2"/>
      <sheetName val="смета_2_проект__работы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1"/>
      <sheetName val="отчет_эл_эн__20001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1"/>
      <sheetName val="ПСБ_-_ОЭ1"/>
      <sheetName val="Смета_21"/>
      <sheetName val="СметаСводная_1_оч1"/>
      <sheetName val="Перечень_Заказчиков1"/>
      <sheetName val="Капитальные_затраты1"/>
      <sheetName val="Opex_personnel_(Term_facs)1"/>
      <sheetName val="КП_(2)1"/>
      <sheetName val="2_2_1"/>
      <sheetName val="6_3"/>
      <sheetName val="6_7"/>
      <sheetName val="6_3_1_3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1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1"/>
      <sheetName val="таблица_руко_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Справочные_данные1"/>
      <sheetName val="Коэфф1_2"/>
      <sheetName val="Прайс_лист2"/>
      <sheetName val="Амур_ДОН2"/>
      <sheetName val="кп_ГК1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1_32"/>
      <sheetName val="К_рын2"/>
      <sheetName val="Сводная_смета2"/>
      <sheetName val="к_84-к_832"/>
      <sheetName val="СМЕТА_проект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13_1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2"/>
      <sheetName val="отчет_эл_эн__20002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2"/>
      <sheetName val="ПСБ_-_ОЭ2"/>
      <sheetName val="Смета_22"/>
      <sheetName val="СметаСводная_1_оч2"/>
      <sheetName val="Перечень_Заказчиков2"/>
      <sheetName val="Капитальные_затраты2"/>
      <sheetName val="Opex_personnel_(Term_facs)2"/>
      <sheetName val="КП_(2)2"/>
      <sheetName val="2_2_2"/>
      <sheetName val="6_31"/>
      <sheetName val="6_71"/>
      <sheetName val="6_3_1_31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2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  <sheetName val="СПЕЦИФИКАЦИЯ"/>
      <sheetName val="Тестовый"/>
      <sheetName val="Настройки"/>
      <sheetName val="Настройка"/>
      <sheetName val="Расчет 2"/>
      <sheetName val="Смета №1"/>
      <sheetName val="3.1"/>
      <sheetName val="Смета 2"/>
      <sheetName val="№5 СУБ Инж защ"/>
      <sheetName val="кап.ремонт"/>
      <sheetName val="Командировочные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Коэфф1_"/>
      <sheetName val="Прайс_лист"/>
      <sheetName val="Данные_для_расчёта_сметы1"/>
      <sheetName val="К_рын"/>
      <sheetName val="Сводная_смета1"/>
      <sheetName val="свод_21"/>
      <sheetName val="СметаСводная_Рыб1"/>
      <sheetName val="См_1_наруж_водопровод1"/>
      <sheetName val="СметаСводная_Колпино"/>
      <sheetName val="Лист_опроса"/>
      <sheetName val="к_84-к_83"/>
      <sheetName val="HP_и_оргтехника"/>
      <sheetName val="Зап-3-_СЦБ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вод_31"/>
      <sheetName val="Кл-р_SysTel1"/>
      <sheetName val="КП_Прим_(3)1"/>
      <sheetName val="1_31"/>
      <sheetName val="ПСП_1"/>
      <sheetName val="Пример_расчета1"/>
      <sheetName val="СМЕТА_проект1"/>
      <sheetName val="Разработка_проекта1"/>
      <sheetName val="Смета_1свод"/>
      <sheetName val="СметаСводная_снег"/>
      <sheetName val="13_1"/>
      <sheetName val="1_2_1-Проект"/>
      <sheetName val="КП_к_снег_Рыбинская"/>
      <sheetName val="СметаСводная_павильон"/>
      <sheetName val="КП_Мак"/>
      <sheetName val="Данные1кв_1"/>
      <sheetName val="Коэф_КВ1"/>
      <sheetName val="6_52-свод1"/>
      <sheetName val="КП_НовоКов"/>
      <sheetName val="Калплан_Кра"/>
      <sheetName val="изыскания_2"/>
      <sheetName val="КП_к_ГК"/>
      <sheetName val="Прибыль_опл"/>
      <sheetName val="Амур_ДОН"/>
      <sheetName val="Opex_personnel_(Term_facs)"/>
      <sheetName val="КП_(2)"/>
      <sheetName val="Ачинский_НПЗ"/>
      <sheetName val="Кал_план_Жукова_даты_-_не_надо"/>
      <sheetName val="смета_СИД"/>
      <sheetName val="ПДР_ООО_&quot;Юкос_ФБЦ&quot;"/>
      <sheetName val="Объемы_работ_по_ПВ"/>
      <sheetName val="исходные_данные"/>
      <sheetName val="расчетные_таблицы"/>
      <sheetName val="См3_СЦБ-зап"/>
      <sheetName val="в_работу"/>
      <sheetName val="Капитальные_затраты"/>
      <sheetName val="Свод_объем"/>
      <sheetName val="Дополнительные_параметры"/>
      <sheetName val="Приложение_2"/>
      <sheetName val="Переменные_и_константы"/>
      <sheetName val="Хаттон_90_90_Femco"/>
      <sheetName val="СметаСводная_1_оч"/>
      <sheetName val="Общая_часть"/>
      <sheetName val="УП__2004"/>
      <sheetName val="БП_НОВЫЙ"/>
      <sheetName val="База_Геодезия"/>
      <sheetName val="База_Геология"/>
      <sheetName val="5_1"/>
      <sheetName val="3_1_ТХ"/>
      <sheetName val="Дополнительные_пара"/>
      <sheetName val="Курс_доллара"/>
      <sheetName val="р_Волхов2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Б_Сат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Данные_для_расчёта_сметы2"/>
      <sheetName val="свод_32"/>
      <sheetName val="ПСП_2"/>
      <sheetName val="Пример_расчета2"/>
      <sheetName val="свод_22"/>
      <sheetName val="СМЕТА_проект2"/>
      <sheetName val="Сводная_смета2"/>
      <sheetName val="Разработка_проекта2"/>
      <sheetName val="См_1_наруж_водопровод2"/>
      <sheetName val="Кл-р_SysTel2"/>
      <sheetName val="КП_Прим_(3)2"/>
      <sheetName val="1_32"/>
      <sheetName val="СметаСводная_Рыб2"/>
      <sheetName val="1_2_1-Проект1"/>
      <sheetName val="КП_к_снег_Рыбинская1"/>
      <sheetName val="Лист_опроса1"/>
      <sheetName val="к_84-к_831"/>
      <sheetName val="Коэфф1_1"/>
      <sheetName val="Прайс_лист1"/>
      <sheetName val="HP_и_оргтехника1"/>
      <sheetName val="Зап-3-_СЦБ1"/>
      <sheetName val="СметаСводная_Колпино1"/>
      <sheetName val="СметаСводная_павильон1"/>
      <sheetName val="КП_Мак1"/>
      <sheetName val="Данные1кв_2"/>
      <sheetName val="Коэф_КВ2"/>
      <sheetName val="6_52-свод2"/>
      <sheetName val="КП_НовоКов1"/>
      <sheetName val="Калплан_Кра1"/>
      <sheetName val="изыскания_21"/>
      <sheetName val="КП_к_ГК1"/>
      <sheetName val="Прибыль_опл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К_рын1"/>
      <sheetName val="Смета_1свод1"/>
      <sheetName val="СметаСводная_снег1"/>
      <sheetName val="13_11"/>
      <sheetName val="Амур_ДОН1"/>
      <sheetName val="Opex_personnel_(Term_facs)1"/>
      <sheetName val="КП_(2)1"/>
      <sheetName val="Ачинский_НПЗ1"/>
      <sheetName val="Кал_план_Жукова_даты_-_не_надо1"/>
      <sheetName val="смета_СИД1"/>
      <sheetName val="ПДР_ООО_&quot;Юкос_ФБЦ&quot;1"/>
      <sheetName val="списки"/>
      <sheetName val="Исх"/>
      <sheetName val="Кал.план Жукова даты - не на/_x0000_"/>
      <sheetName val="Общие"/>
      <sheetName val="отчет эл_эн  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 refreshError="1"/>
      <sheetData sheetId="709" refreshError="1"/>
      <sheetData sheetId="710" refreshError="1"/>
      <sheetData sheetId="711" refreshError="1"/>
      <sheetData sheetId="712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ПРОЦЕНТЫ"/>
      <sheetName val="MararashAA"/>
      <sheetName val="СМЕТА_проект1"/>
      <sheetName val="HP_и_оргтехника1"/>
      <sheetName val="Лист_опроса1"/>
      <sheetName val="13_11"/>
      <sheetName val="Таблица_5"/>
      <sheetName val="Таблица_3"/>
      <sheetName val="выборка_на22_июня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1_31"/>
      <sheetName val="К_рын1"/>
      <sheetName val="Сводная_смета1"/>
      <sheetName val="справ_2"/>
      <sheetName val="Пояснение_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См3_СЦБ-зап1"/>
      <sheetName val="Переменные_и_константы1"/>
      <sheetName val="Смета_1свод1"/>
      <sheetName val="Ачинский_НПЗ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Смета_терзем"/>
      <sheetName val="р_Волхов1"/>
      <sheetName val="Баланс_(Ф1)"/>
      <sheetName val="Капитальные_затраты1"/>
      <sheetName val="Opex_personnel_(Term_facs)1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РАСПРЕД_ПО_ПРОЦЕСС"/>
      <sheetName val="аванс_по_ОС"/>
      <sheetName val="Авансы_выданные"/>
      <sheetName val="Кред__задолж_"/>
      <sheetName val="ПС_110_кВ_(доп)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HP_и_оргтехника2"/>
      <sheetName val="Лист_опроса2"/>
      <sheetName val="13_12"/>
      <sheetName val="Данные_для_расчёта_сметы2"/>
      <sheetName val="свод_22"/>
      <sheetName val="Зап-3-_СЦБ2"/>
      <sheetName val="Таблица_51"/>
      <sheetName val="Таблица_31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выборка_на22_июня1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прав_3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смета_2_проект__работы1"/>
      <sheetName val="СтрЗапасов_(2)1"/>
      <sheetName val="НМ_расчеты1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 работ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PLиюль04"/>
      <sheetName val="PL СК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>
        <row r="1">
          <cell r="B1">
            <v>0</v>
          </cell>
        </row>
      </sheetData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  <sheetName val="12"/>
      <sheetName val="выборка заказчик"/>
      <sheetName val="спр1"/>
      <sheetName val="рбп"/>
      <sheetName val="DATA"/>
      <sheetName val="Общ"/>
      <sheetName val="ЛЧ Р"/>
      <sheetName val="шаблон"/>
      <sheetName val="смета проект"/>
      <sheetName val="терм.обез"/>
      <sheetName val="оборуд_1"/>
      <sheetName val="Расчет_ССР"/>
      <sheetName val="(свод)"/>
      <sheetName val="химреаг."/>
      <sheetName val="ИД"/>
      <sheetName val="спецификация"/>
      <sheetName val="Списки"/>
      <sheetName val="Ресурсы"/>
      <sheetName val="Объекты"/>
      <sheetName val="исх-данные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>
        <row r="2">
          <cell r="A2">
            <v>25</v>
          </cell>
        </row>
      </sheetData>
      <sheetData sheetId="33">
        <row r="2">
          <cell r="A2">
            <v>25</v>
          </cell>
        </row>
      </sheetData>
      <sheetData sheetId="34">
        <row r="2">
          <cell r="A2">
            <v>25</v>
          </cell>
        </row>
      </sheetData>
      <sheetData sheetId="35">
        <row r="2">
          <cell r="A2">
            <v>25</v>
          </cell>
        </row>
      </sheetData>
      <sheetData sheetId="36">
        <row r="2">
          <cell r="A2">
            <v>25</v>
          </cell>
        </row>
      </sheetData>
      <sheetData sheetId="37">
        <row r="2">
          <cell r="A2">
            <v>25</v>
          </cell>
        </row>
      </sheetData>
      <sheetData sheetId="38">
        <row r="2">
          <cell r="A2">
            <v>25</v>
          </cell>
        </row>
      </sheetData>
      <sheetData sheetId="39">
        <row r="2">
          <cell r="A2">
            <v>25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25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  <sheetName val="5 Эксп "/>
      <sheetName val="геолог"/>
      <sheetName val="Данные_для_расчёта_сметы1"/>
      <sheetName val="Справочные данные"/>
      <sheetName val="СПЕЦИФИКАЦИЯ"/>
      <sheetName val="расчет вязкости"/>
      <sheetName val="2003г."/>
      <sheetName val="СметаЗатрат"/>
      <sheetName val="СНГ"/>
      <sheetName val="Курс $"/>
      <sheetName val="Дополнительные пара"/>
      <sheetName val="Ф3П"/>
      <sheetName val="Ф2П"/>
      <sheetName val="Дог_рас"/>
      <sheetName val="КП_СС"/>
      <sheetName val="Кал.план Жукова даты - не на/"/>
      <sheetName val="Лист3"/>
      <sheetName val="Эл-доп"/>
      <sheetName val="Электрика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свод_21"/>
      <sheetName val="См_1_наруж_водопровод1"/>
      <sheetName val="СметаСводная_Рыб1"/>
      <sheetName val="СметаСводная_Колпино"/>
      <sheetName val="Ачинский_НПЗ"/>
      <sheetName val="Коэф_КВ1"/>
      <sheetName val="свод_31"/>
      <sheetName val="ПСП_1"/>
      <sheetName val="Пример_расчета1"/>
      <sheetName val="СМЕТА_проект1"/>
      <sheetName val="Сводная_смета1"/>
      <sheetName val="Разработка_проекта1"/>
      <sheetName val="Кл-р_SysTel1"/>
      <sheetName val="КП_Прим_(3)1"/>
      <sheetName val="1_31"/>
      <sheetName val="1_2_1-Проект"/>
      <sheetName val="КП_к_снег_Рыбинская"/>
      <sheetName val="Лист_опроса"/>
      <sheetName val="к_84-к_83"/>
      <sheetName val="Коэфф1_"/>
      <sheetName val="Прайс_лист"/>
      <sheetName val="HP_и_оргтехника"/>
      <sheetName val="Зап-3-_СЦБ"/>
      <sheetName val="СметаСводная_павильон"/>
      <sheetName val="КП_Мак"/>
      <sheetName val="Данные1кв_1"/>
      <sheetName val="6_52-свод1"/>
      <sheetName val="КП_НовоКов"/>
      <sheetName val="Калплан_Кра"/>
      <sheetName val="изыскания_2"/>
      <sheetName val="КП_к_ГК"/>
      <sheetName val="Прибыль_опл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Амур_ДОН"/>
      <sheetName val="13_1"/>
      <sheetName val="Opex_personnel_(Term_facs)"/>
      <sheetName val="КП_(2)"/>
      <sheetName val="К_рын"/>
      <sheetName val="Смета_1свод"/>
      <sheetName val="СметаСводная_снег"/>
      <sheetName val="Кал_план_Жукова_даты_-_не_надо"/>
      <sheetName val="См3_СЦБ-зап"/>
      <sheetName val="Хаттон_90_90_Femco"/>
      <sheetName val="Объемы_работ_по_ПВ"/>
      <sheetName val="СметаСводная_1_оч"/>
      <sheetName val="Общая_часть"/>
      <sheetName val="Курс_доллара"/>
      <sheetName val="в_работу"/>
      <sheetName val="ПДР_ООО_&quot;Юкос_ФБЦ&quot;"/>
      <sheetName val="смета_СИД"/>
      <sheetName val="исходные_данные"/>
      <sheetName val="расчетные_таблицы"/>
      <sheetName val="Капитальные_затраты"/>
      <sheetName val="Свод_объем"/>
      <sheetName val="Дополнительные_параметры"/>
      <sheetName val="Приложение_2"/>
      <sheetName val="Переменные_и_константы"/>
      <sheetName val="УП__2004"/>
      <sheetName val="БП_НОВЫЙ"/>
      <sheetName val="База_Геодезия"/>
      <sheetName val="База_Геология"/>
      <sheetName val="5_1"/>
      <sheetName val="3_1_ТХ"/>
      <sheetName val="база_на_21-04-08"/>
      <sheetName val="См_2_Шатурс_сети__проект_работы"/>
      <sheetName val="Расчет_2"/>
      <sheetName val="Смета_№1"/>
      <sheetName val="3_1"/>
      <sheetName val="5_Эксп_"/>
      <sheetName val="Кал_план_Жукова_даты_-_не_на/"/>
      <sheetName val="Смета_2"/>
      <sheetName val="№5_СУБ_Инж_защ"/>
      <sheetName val="кап_ремонт"/>
      <sheetName val="Дополнительные_пара"/>
      <sheetName val="р_Волхов2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Б_Сат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Данные_для_расчёта_сметы2"/>
      <sheetName val="свод_22"/>
      <sheetName val="Коэф_КВ2"/>
      <sheetName val="См_1_наруж_водопровод2"/>
      <sheetName val="СметаСводная_Рыб2"/>
      <sheetName val="СметаСводная_Колпино1"/>
      <sheetName val="Ачинский_НПЗ1"/>
      <sheetName val="свод_32"/>
      <sheetName val="ПСП_2"/>
      <sheetName val="Пример_расчета2"/>
      <sheetName val="СМЕТА_проект2"/>
      <sheetName val="Сводная_смета2"/>
      <sheetName val="Разработка_проекта2"/>
      <sheetName val="Кл-р_SysTel2"/>
      <sheetName val="КП_Прим_(3)2"/>
      <sheetName val="1_32"/>
      <sheetName val="1_2_1-Проект1"/>
      <sheetName val="КП_к_снег_Рыбинская1"/>
      <sheetName val="Лист_опроса1"/>
      <sheetName val="к_84-к_831"/>
      <sheetName val="Коэфф1_1"/>
      <sheetName val="Прайс_лист1"/>
      <sheetName val="HP_и_оргтехника1"/>
      <sheetName val="Зап-3-_СЦБ1"/>
      <sheetName val="СметаСводная_павильон1"/>
      <sheetName val="КП_Мак1"/>
      <sheetName val="Данные1кв_2"/>
      <sheetName val="6_52-свод2"/>
      <sheetName val="КП_НовоКов1"/>
      <sheetName val="Калплан_Кра1"/>
      <sheetName val="изыскания_21"/>
      <sheetName val="КП_к_ГК1"/>
      <sheetName val="Прибыль_опл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Амур_ДОН1"/>
      <sheetName val="13_11"/>
      <sheetName val="Opex_personnel_(Term_facs)1"/>
      <sheetName val="КП_(2)1"/>
      <sheetName val="К_рын1"/>
      <sheetName val="Смета_1свод1"/>
      <sheetName val="СметаСводная_снег1"/>
      <sheetName val="Хаттон_90_90_Femco1"/>
      <sheetName val="Кал_план_Жукова_даты_-_не_надо1"/>
      <sheetName val="См3_СЦБ-зап1"/>
      <sheetName val="Курс_доллара1"/>
      <sheetName val="Объемы_работ_по_ПВ1"/>
      <sheetName val="СметаСводная_1_оч1"/>
      <sheetName val="Общая_часть1"/>
      <sheetName val="смета_СИД1"/>
      <sheetName val="Дополнительные_параметры1"/>
      <sheetName val="ПДР_ООО_&quot;Юкос_ФБЦ&quot;1"/>
      <sheetName val="база_на_21-04-081"/>
      <sheetName val="исходные_данные1"/>
      <sheetName val="расчетные_таблицы1"/>
      <sheetName val="в_работу1"/>
      <sheetName val="Капитальные_затраты1"/>
      <sheetName val="Свод_объем1"/>
      <sheetName val="Приложение_21"/>
      <sheetName val="Переменные_и_константы1"/>
      <sheetName val="УП__20041"/>
      <sheetName val="База_Геодезия1"/>
      <sheetName val="База_Геология1"/>
      <sheetName val="5_11"/>
      <sheetName val="Расчет_21"/>
      <sheetName val="Смета_№11"/>
      <sheetName val="БП_НОВЫЙ1"/>
      <sheetName val="3_11"/>
      <sheetName val="3_1_ТХ1"/>
      <sheetName val="5_Эксп_1"/>
      <sheetName val="Смета_21"/>
      <sheetName val="№5_СУБ_Инж_защ1"/>
      <sheetName val="кап_ремонт1"/>
      <sheetName val="См_2_Шатурс_сети__проект_работ1"/>
      <sheetName val="Приложение №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 refreshError="1"/>
      <sheetData sheetId="559" refreshError="1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  <sheetName val="Кредиты"/>
      <sheetName val="Исх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 2"/>
      <sheetName val="Табл38-7"/>
      <sheetName val="вариант"/>
      <sheetName val="Разработка проекта"/>
      <sheetName val="КП НовоКов"/>
      <sheetName val="sapactivexlhiddensheet"/>
      <sheetName val="Переменные и константы"/>
      <sheetName val="СМЕТА проект"/>
      <sheetName val="РасчетКомандир1"/>
      <sheetName val="РасчетКомандир2"/>
      <sheetName val="Коэфф"/>
      <sheetName val="Смета2 проект. раб.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ИД1"/>
      <sheetName val="шаблон"/>
      <sheetName val="Таблица 4 АСУТП"/>
      <sheetName val="Смета 5.2. Кусты25,29,31,65"/>
      <sheetName val="свод общ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СметаСводная 1 оч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20_Кредиты краткосрочные"/>
      <sheetName val="Амур ДОН"/>
      <sheetName val="3.5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кп"/>
      <sheetName val="свод (2)"/>
      <sheetName val="пятилетка"/>
      <sheetName val="мониторинг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изыскания 2"/>
      <sheetName val="Калплан Кра"/>
      <sheetName val="Материалы"/>
      <sheetName val="Баланс (Ф1)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6.11 новый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ОПС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Таблица 5"/>
      <sheetName val="Таблица 3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15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Коэф"/>
      <sheetName val="Source lists"/>
      <sheetName val="PO Data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ПД"/>
      <sheetName val="См.3_АСУ"/>
      <sheetName val="Полигон - ИЭИ "/>
      <sheetName val="Ком"/>
      <sheetName val="Акт выбора"/>
      <sheetName val="АСУ-линия-1"/>
      <sheetName val="ТЗ АСУ-1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Сводная "/>
      <sheetName val="7.ТХ Сети (кор)"/>
      <sheetName val="Tier 311208"/>
      <sheetName val="свод_ИИР"/>
      <sheetName val="См.№7 Эл."/>
      <sheetName val="См.№8 Пож."/>
      <sheetName val="См.№3 ВиК"/>
      <sheetName val="№1"/>
      <sheetName val="Сметы за сопровождение"/>
      <sheetName val="СМ_x000b__x0011__x0012__x000c__x0011__x0011__x0011__x0011__x0011__x0011_"/>
      <sheetName val="ᄀᄀᄀᄀᄀᄀᄀᄀᄀᄀᄀᄀᄀᄀᄀᄀᄀ"/>
      <sheetName val="лч и кам"/>
      <sheetName val="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СметаСводная_снег1"/>
      <sheetName val="Хаттон_90_90_Femco1"/>
      <sheetName val="свод_общ1"/>
      <sheetName val="таблица_руководству1"/>
      <sheetName val="Суточная_добыча_за_неделю1"/>
      <sheetName val="СметаСводная_павильон1"/>
      <sheetName val="13_11"/>
      <sheetName val="матер_"/>
      <sheetName val="КП_Прим_(3)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Таблица_4_АСУТП1"/>
      <sheetName val="Смета_5_2__Кусты25,29,31,651"/>
      <sheetName val="р_Волхов1"/>
      <sheetName val="КП_(2)1"/>
      <sheetName val="свод_31"/>
      <sheetName val="СМЕТА_проект1"/>
      <sheetName val="1_31"/>
      <sheetName val="К_рын1"/>
      <sheetName val="Сводная_смета1"/>
      <sheetName val="Переменные_и_константы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ПДР_ООО_&quot;Юкос_ФБЦ&quot;1"/>
      <sheetName val="исходные_данные1"/>
      <sheetName val="расчетные_таблицы1"/>
      <sheetName val="Амур_ДОН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мета_21"/>
      <sheetName val="Ачинский_НПЗ1"/>
      <sheetName val="См3_СЦБ-зап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КП_к_снег_Рыбинская1"/>
      <sheetName val="Табл_51"/>
      <sheetName val="Табл_21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полненных_работ_46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таблица_руко_"/>
      <sheetName val="Смета_7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эл_химз_3"/>
      <sheetName val="геология_3"/>
      <sheetName val="Данные_для_расчёта_сметы2"/>
      <sheetName val="СметаСводная_снег2"/>
      <sheetName val="свод_22"/>
      <sheetName val="Хаттон_90_90_Femco2"/>
      <sheetName val="Коэфф1_2"/>
      <sheetName val="свод_общ2"/>
      <sheetName val="СметаСводная_1_оч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Р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/>
      <sheetData sheetId="871"/>
      <sheetData sheetId="872"/>
      <sheetData sheetId="873"/>
      <sheetData sheetId="874"/>
      <sheetData sheetId="875" refreshError="1"/>
      <sheetData sheetId="876"/>
      <sheetData sheetId="877"/>
      <sheetData sheetId="878"/>
      <sheetData sheetId="879"/>
      <sheetData sheetId="880"/>
      <sheetData sheetId="881"/>
      <sheetData sheetId="882"/>
      <sheetData sheetId="883" refreshError="1"/>
      <sheetData sheetId="884" refreshError="1"/>
      <sheetData sheetId="885"/>
      <sheetData sheetId="886"/>
      <sheetData sheetId="887" refreshError="1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 refreshError="1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  <sheetName val="Пра_x0000_с_лист"/>
      <sheetName val="исключ ЭХЗ"/>
      <sheetName val="БДР"/>
      <sheetName val="КБК ДПК"/>
      <sheetName val="геол"/>
      <sheetName val="ЖД 3.1"/>
      <sheetName val="УСР"/>
      <sheetName val="Объемы"/>
      <sheetName val="эл_химз_2"/>
      <sheetName val="геология_2"/>
      <sheetName val="справ_2"/>
      <sheetName val="Данные_для_расчёта_сметы1"/>
      <sheetName val="СметаСводная_снег1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лч_и_кам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3"/>
      <sheetName val="геология_3"/>
      <sheetName val="справ_3"/>
      <sheetName val="СметаСводная_снег2"/>
      <sheetName val="Данные_для_расчёта_сметы2"/>
      <sheetName val="СметаСводная_павильон2"/>
      <sheetName val="Перечень_ИУ2"/>
      <sheetName val="Коэфф1_2"/>
      <sheetName val="свод_22"/>
      <sheetName val="ст_ГТМ1"/>
      <sheetName val="СметаСводная_Колпино2"/>
      <sheetName val="3_1_ТХ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лч_и_кам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 Свод"/>
      <sheetName val="Договорная цена"/>
      <sheetName val="Panduit"/>
      <sheetName val="расчеты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>
        <row r="1">
          <cell r="B1">
            <v>0</v>
          </cell>
        </row>
      </sheetData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>
        <row r="1">
          <cell r="B1">
            <v>0</v>
          </cell>
        </row>
      </sheetData>
      <sheetData sheetId="1138"/>
      <sheetData sheetId="1139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>
        <row r="1">
          <cell r="B1">
            <v>0</v>
          </cell>
        </row>
      </sheetData>
      <sheetData sheetId="1156" refreshError="1"/>
      <sheetData sheetId="1157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view="pageBreakPreview" topLeftCell="A55" zoomScale="75" zoomScaleNormal="75" zoomScaleSheetLayoutView="75" workbookViewId="0">
      <selection activeCell="H75" sqref="H75"/>
    </sheetView>
  </sheetViews>
  <sheetFormatPr defaultColWidth="9.140625" defaultRowHeight="12.75" x14ac:dyDescent="0.2"/>
  <cols>
    <col min="1" max="1" width="5" style="18" customWidth="1"/>
    <col min="2" max="2" width="19.28515625" style="19" customWidth="1"/>
    <col min="3" max="3" width="51.28515625" style="19" customWidth="1"/>
    <col min="4" max="4" width="13.140625" style="30" customWidth="1"/>
    <col min="5" max="5" width="13" style="30" customWidth="1"/>
    <col min="6" max="6" width="13.42578125" style="30" customWidth="1"/>
    <col min="7" max="7" width="12.5703125" style="30" customWidth="1"/>
    <col min="8" max="8" width="13.85546875" style="30" customWidth="1"/>
    <col min="9" max="16384" width="9.140625" style="22"/>
  </cols>
  <sheetData>
    <row r="1" spans="2:8" x14ac:dyDescent="0.2">
      <c r="D1" s="20"/>
      <c r="E1" s="20"/>
      <c r="F1" s="20"/>
      <c r="G1" s="20"/>
      <c r="H1" s="21" t="s">
        <v>0</v>
      </c>
    </row>
    <row r="2" spans="2:8" x14ac:dyDescent="0.2">
      <c r="B2" s="19" t="s">
        <v>1</v>
      </c>
      <c r="C2" s="50" t="s">
        <v>2</v>
      </c>
      <c r="D2" s="50"/>
      <c r="E2" s="50"/>
      <c r="F2" s="50"/>
      <c r="G2" s="50"/>
      <c r="H2" s="20"/>
    </row>
    <row r="3" spans="2:8" x14ac:dyDescent="0.2">
      <c r="C3" s="23"/>
      <c r="D3" s="24" t="s">
        <v>3</v>
      </c>
      <c r="E3" s="25"/>
      <c r="F3" s="26"/>
      <c r="G3" s="26"/>
      <c r="H3" s="20"/>
    </row>
    <row r="4" spans="2:8" x14ac:dyDescent="0.2">
      <c r="B4" s="19" t="s">
        <v>47</v>
      </c>
      <c r="C4" s="27"/>
      <c r="D4" s="20"/>
      <c r="E4" s="28"/>
      <c r="F4" s="20"/>
      <c r="G4" s="20"/>
      <c r="H4" s="20"/>
    </row>
    <row r="5" spans="2:8" x14ac:dyDescent="0.2">
      <c r="D5" s="20"/>
      <c r="E5" s="28"/>
      <c r="F5" s="20"/>
      <c r="G5" s="20"/>
      <c r="H5" s="20"/>
    </row>
    <row r="6" spans="2:8" x14ac:dyDescent="0.2">
      <c r="B6" s="57" t="s">
        <v>46</v>
      </c>
      <c r="C6" s="57"/>
      <c r="D6" s="29">
        <f>H75</f>
        <v>42919.212492931547</v>
      </c>
      <c r="E6" s="20" t="s">
        <v>29</v>
      </c>
      <c r="F6" s="20"/>
      <c r="G6" s="20"/>
      <c r="H6" s="20"/>
    </row>
    <row r="7" spans="2:8" x14ac:dyDescent="0.2">
      <c r="B7" s="57" t="s">
        <v>4</v>
      </c>
      <c r="C7" s="57"/>
      <c r="D7" s="20"/>
      <c r="E7" s="20" t="s">
        <v>29</v>
      </c>
      <c r="F7" s="20"/>
      <c r="G7" s="20"/>
      <c r="H7" s="20"/>
    </row>
    <row r="8" spans="2:8" x14ac:dyDescent="0.2">
      <c r="C8" s="51"/>
      <c r="D8" s="52"/>
      <c r="E8" s="52"/>
      <c r="F8" s="52"/>
      <c r="G8" s="52"/>
      <c r="H8" s="20"/>
    </row>
    <row r="9" spans="2:8" x14ac:dyDescent="0.2">
      <c r="D9" s="28" t="s">
        <v>5</v>
      </c>
      <c r="F9" s="20"/>
      <c r="G9" s="20"/>
      <c r="H9" s="20"/>
    </row>
    <row r="10" spans="2:8" x14ac:dyDescent="0.2">
      <c r="D10" s="20"/>
      <c r="E10" s="28"/>
      <c r="F10" s="20"/>
      <c r="G10" s="20"/>
      <c r="H10" s="20"/>
    </row>
    <row r="11" spans="2:8" x14ac:dyDescent="0.2">
      <c r="G11" s="20"/>
      <c r="H11" s="20"/>
    </row>
    <row r="12" spans="2:8" x14ac:dyDescent="0.2">
      <c r="D12" s="31" t="s">
        <v>6</v>
      </c>
      <c r="F12" s="20"/>
      <c r="G12" s="20"/>
      <c r="H12" s="20"/>
    </row>
    <row r="13" spans="2:8" x14ac:dyDescent="0.2">
      <c r="D13" s="32"/>
      <c r="F13" s="20"/>
      <c r="G13" s="20"/>
      <c r="H13" s="20"/>
    </row>
    <row r="14" spans="2:8" ht="118.5" customHeight="1" x14ac:dyDescent="0.2">
      <c r="C14" s="53" t="s">
        <v>77</v>
      </c>
      <c r="D14" s="50"/>
      <c r="E14" s="50"/>
      <c r="F14" s="50"/>
      <c r="G14" s="50"/>
      <c r="H14" s="20"/>
    </row>
    <row r="15" spans="2:8" x14ac:dyDescent="0.2">
      <c r="D15" s="33" t="s">
        <v>7</v>
      </c>
      <c r="F15" s="20"/>
      <c r="G15" s="20"/>
      <c r="H15" s="20"/>
    </row>
    <row r="16" spans="2:8" x14ac:dyDescent="0.2">
      <c r="H16" s="20"/>
    </row>
    <row r="17" spans="1:8" x14ac:dyDescent="0.2">
      <c r="B17" s="19" t="s">
        <v>53</v>
      </c>
      <c r="D17" s="32"/>
      <c r="E17" s="20"/>
      <c r="F17" s="20"/>
      <c r="G17" s="20"/>
      <c r="H17" s="20"/>
    </row>
    <row r="18" spans="1:8" ht="12.75" customHeight="1" x14ac:dyDescent="0.2">
      <c r="A18" s="54" t="s">
        <v>8</v>
      </c>
      <c r="B18" s="55" t="s">
        <v>43</v>
      </c>
      <c r="C18" s="55" t="s">
        <v>9</v>
      </c>
      <c r="D18" s="56" t="s">
        <v>10</v>
      </c>
      <c r="E18" s="56"/>
      <c r="F18" s="56"/>
      <c r="G18" s="56"/>
      <c r="H18" s="54" t="s">
        <v>44</v>
      </c>
    </row>
    <row r="19" spans="1:8" x14ac:dyDescent="0.2">
      <c r="A19" s="54"/>
      <c r="B19" s="55"/>
      <c r="C19" s="55"/>
      <c r="D19" s="54" t="s">
        <v>11</v>
      </c>
      <c r="E19" s="54" t="s">
        <v>12</v>
      </c>
      <c r="F19" s="54" t="s">
        <v>13</v>
      </c>
      <c r="G19" s="54" t="s">
        <v>36</v>
      </c>
      <c r="H19" s="54"/>
    </row>
    <row r="20" spans="1:8" x14ac:dyDescent="0.2">
      <c r="A20" s="54"/>
      <c r="B20" s="55"/>
      <c r="C20" s="55"/>
      <c r="D20" s="54"/>
      <c r="E20" s="54"/>
      <c r="F20" s="54"/>
      <c r="G20" s="54"/>
      <c r="H20" s="54"/>
    </row>
    <row r="21" spans="1:8" x14ac:dyDescent="0.2">
      <c r="A21" s="54"/>
      <c r="B21" s="55"/>
      <c r="C21" s="55"/>
      <c r="D21" s="54"/>
      <c r="E21" s="54"/>
      <c r="F21" s="54"/>
      <c r="G21" s="54"/>
      <c r="H21" s="54"/>
    </row>
    <row r="22" spans="1:8" x14ac:dyDescent="0.2">
      <c r="A22" s="34">
        <v>1</v>
      </c>
      <c r="B22" s="35">
        <v>2</v>
      </c>
      <c r="C22" s="35">
        <v>3</v>
      </c>
      <c r="D22" s="34">
        <v>4</v>
      </c>
      <c r="E22" s="34">
        <v>5</v>
      </c>
      <c r="F22" s="34">
        <v>6</v>
      </c>
      <c r="G22" s="34">
        <v>7</v>
      </c>
      <c r="H22" s="34">
        <v>8</v>
      </c>
    </row>
    <row r="23" spans="1:8" x14ac:dyDescent="0.2">
      <c r="A23" s="48" t="s">
        <v>34</v>
      </c>
      <c r="B23" s="49"/>
      <c r="C23" s="49"/>
      <c r="D23" s="49"/>
      <c r="E23" s="49"/>
      <c r="F23" s="49"/>
      <c r="G23" s="49"/>
      <c r="H23" s="49"/>
    </row>
    <row r="24" spans="1:8" ht="38.25" x14ac:dyDescent="0.2">
      <c r="A24" s="36">
        <v>1</v>
      </c>
      <c r="B24" s="37" t="s">
        <v>48</v>
      </c>
      <c r="C24" s="38" t="s">
        <v>67</v>
      </c>
      <c r="D24" s="39"/>
      <c r="E24" s="39"/>
      <c r="F24" s="39"/>
      <c r="G24" s="40">
        <f>5100/1000/1.2</f>
        <v>4.25</v>
      </c>
      <c r="H24" s="40">
        <f>G24+F24+E24+D24</f>
        <v>4.25</v>
      </c>
    </row>
    <row r="25" spans="1:8" ht="38.25" x14ac:dyDescent="0.2">
      <c r="A25" s="36">
        <v>2</v>
      </c>
      <c r="B25" s="37" t="s">
        <v>48</v>
      </c>
      <c r="C25" s="38" t="s">
        <v>78</v>
      </c>
      <c r="D25" s="39"/>
      <c r="E25" s="39"/>
      <c r="F25" s="39"/>
      <c r="G25" s="40">
        <f>5100/1000/1.2</f>
        <v>4.25</v>
      </c>
      <c r="H25" s="40">
        <f t="shared" ref="H25:H26" si="0">G25+F25+E25+D25</f>
        <v>4.25</v>
      </c>
    </row>
    <row r="26" spans="1:8" ht="38.25" x14ac:dyDescent="0.2">
      <c r="A26" s="36">
        <v>3</v>
      </c>
      <c r="B26" s="37" t="s">
        <v>48</v>
      </c>
      <c r="C26" s="38" t="s">
        <v>68</v>
      </c>
      <c r="D26" s="39"/>
      <c r="E26" s="39"/>
      <c r="F26" s="39"/>
      <c r="G26" s="40">
        <f>24933.31/1000/1.2</f>
        <v>20.777758333333335</v>
      </c>
      <c r="H26" s="40">
        <f t="shared" si="0"/>
        <v>20.777758333333335</v>
      </c>
    </row>
    <row r="27" spans="1:8" x14ac:dyDescent="0.2">
      <c r="A27" s="41"/>
      <c r="B27" s="46" t="s">
        <v>35</v>
      </c>
      <c r="C27" s="47"/>
      <c r="D27" s="40">
        <f>D24+D25+D26</f>
        <v>0</v>
      </c>
      <c r="E27" s="40">
        <f t="shared" ref="E27:G27" si="1">E24+E25+E26</f>
        <v>0</v>
      </c>
      <c r="F27" s="40">
        <f t="shared" si="1"/>
        <v>0</v>
      </c>
      <c r="G27" s="40">
        <f t="shared" si="1"/>
        <v>29.277758333333335</v>
      </c>
      <c r="H27" s="40">
        <f>H24+H25+H26</f>
        <v>29.277758333333335</v>
      </c>
    </row>
    <row r="28" spans="1:8" x14ac:dyDescent="0.2">
      <c r="A28" s="48" t="s">
        <v>14</v>
      </c>
      <c r="B28" s="49"/>
      <c r="C28" s="49"/>
      <c r="D28" s="49"/>
      <c r="E28" s="49"/>
      <c r="F28" s="49"/>
      <c r="G28" s="49"/>
      <c r="H28" s="49"/>
    </row>
    <row r="29" spans="1:8" ht="25.5" x14ac:dyDescent="0.2">
      <c r="A29" s="36">
        <v>4</v>
      </c>
      <c r="B29" s="38" t="s">
        <v>15</v>
      </c>
      <c r="C29" s="42" t="s">
        <v>54</v>
      </c>
      <c r="D29" s="17">
        <f>3510.14-D37-D42</f>
        <v>1758.3254699999995</v>
      </c>
      <c r="E29" s="17">
        <f>412.99</f>
        <v>412.99</v>
      </c>
      <c r="F29" s="39">
        <f>10197850/1000</f>
        <v>10197.85</v>
      </c>
      <c r="G29" s="39"/>
      <c r="H29" s="40">
        <f>D29+E29+G29+F29</f>
        <v>12369.16547</v>
      </c>
    </row>
    <row r="30" spans="1:8" ht="38.25" x14ac:dyDescent="0.2">
      <c r="A30" s="36">
        <v>5</v>
      </c>
      <c r="B30" s="38" t="s">
        <v>15</v>
      </c>
      <c r="C30" s="42" t="s">
        <v>58</v>
      </c>
      <c r="D30" s="17">
        <f>4185.06-G47</f>
        <v>4184.183</v>
      </c>
      <c r="E30" s="17">
        <f>296.49</f>
        <v>296.49</v>
      </c>
      <c r="F30" s="39"/>
      <c r="G30" s="39"/>
      <c r="H30" s="40">
        <f t="shared" ref="H30:H33" si="2">D30+E30+G30+F30</f>
        <v>4480.6729999999998</v>
      </c>
    </row>
    <row r="31" spans="1:8" ht="38.25" x14ac:dyDescent="0.2">
      <c r="A31" s="36">
        <v>6</v>
      </c>
      <c r="B31" s="38" t="s">
        <v>15</v>
      </c>
      <c r="C31" s="42" t="s">
        <v>62</v>
      </c>
      <c r="D31" s="17">
        <f>2406.41-G48</f>
        <v>2405.5329999999999</v>
      </c>
      <c r="E31" s="17">
        <f>191.16</f>
        <v>191.16</v>
      </c>
      <c r="F31" s="39"/>
      <c r="G31" s="39"/>
      <c r="H31" s="40">
        <f t="shared" si="2"/>
        <v>2596.6929999999998</v>
      </c>
    </row>
    <row r="32" spans="1:8" ht="38.25" x14ac:dyDescent="0.2">
      <c r="A32" s="36">
        <v>7</v>
      </c>
      <c r="B32" s="38" t="s">
        <v>15</v>
      </c>
      <c r="C32" s="42" t="s">
        <v>66</v>
      </c>
      <c r="D32" s="17">
        <f>1658.59-D38</f>
        <v>1528.3784666666666</v>
      </c>
      <c r="E32" s="17">
        <f>186.82</f>
        <v>186.82</v>
      </c>
      <c r="F32" s="39"/>
      <c r="G32" s="39"/>
      <c r="H32" s="40">
        <f t="shared" si="2"/>
        <v>1715.1984666666665</v>
      </c>
    </row>
    <row r="33" spans="1:8" ht="38.25" x14ac:dyDescent="0.2">
      <c r="A33" s="36">
        <v>8</v>
      </c>
      <c r="B33" s="38" t="s">
        <v>15</v>
      </c>
      <c r="C33" s="42" t="s">
        <v>79</v>
      </c>
      <c r="D33" s="17">
        <f>(3129321.6+276808.91)/1000/1.2</f>
        <v>2838.4420916666672</v>
      </c>
      <c r="E33" s="17">
        <f>(428506.8+274354.06)/1000/1.2</f>
        <v>585.71738333333337</v>
      </c>
      <c r="F33" s="39"/>
      <c r="G33" s="39"/>
      <c r="H33" s="40">
        <f t="shared" si="2"/>
        <v>3424.1594750000004</v>
      </c>
    </row>
    <row r="34" spans="1:8" x14ac:dyDescent="0.2">
      <c r="A34" s="41"/>
      <c r="B34" s="46" t="s">
        <v>16</v>
      </c>
      <c r="C34" s="47"/>
      <c r="D34" s="40">
        <f>D29+D30+D31+D32+D33</f>
        <v>12714.862028333335</v>
      </c>
      <c r="E34" s="40">
        <f t="shared" ref="E34:G34" si="3">E29+E30+E31+E32+E33</f>
        <v>1673.1773833333334</v>
      </c>
      <c r="F34" s="40">
        <f t="shared" si="3"/>
        <v>10197.85</v>
      </c>
      <c r="G34" s="40">
        <f t="shared" si="3"/>
        <v>0</v>
      </c>
      <c r="H34" s="40">
        <f>D34+E34+F34+G34</f>
        <v>24585.889411666671</v>
      </c>
    </row>
    <row r="35" spans="1:8" x14ac:dyDescent="0.2">
      <c r="A35" s="41"/>
      <c r="B35" s="46" t="s">
        <v>32</v>
      </c>
      <c r="C35" s="47"/>
      <c r="D35" s="40">
        <f>D34+D27</f>
        <v>12714.862028333335</v>
      </c>
      <c r="E35" s="40">
        <f>E34+E27</f>
        <v>1673.1773833333334</v>
      </c>
      <c r="F35" s="40">
        <f>F34+F27</f>
        <v>10197.85</v>
      </c>
      <c r="G35" s="40">
        <f>G34+G27</f>
        <v>29.277758333333335</v>
      </c>
      <c r="H35" s="40">
        <f>H34+H27</f>
        <v>24615.167170000004</v>
      </c>
    </row>
    <row r="36" spans="1:8" x14ac:dyDescent="0.2">
      <c r="A36" s="48" t="s">
        <v>39</v>
      </c>
      <c r="B36" s="49"/>
      <c r="C36" s="49"/>
      <c r="D36" s="49"/>
      <c r="E36" s="49"/>
      <c r="F36" s="49"/>
      <c r="G36" s="49"/>
      <c r="H36" s="49"/>
    </row>
    <row r="37" spans="1:8" ht="25.5" x14ac:dyDescent="0.2">
      <c r="A37" s="36">
        <v>9</v>
      </c>
      <c r="B37" s="38" t="s">
        <v>15</v>
      </c>
      <c r="C37" s="42" t="s">
        <v>54</v>
      </c>
      <c r="D37" s="17">
        <f>(222175+8419.19+160225.34)/1000</f>
        <v>390.81953000000004</v>
      </c>
      <c r="E37" s="17"/>
      <c r="F37" s="39"/>
      <c r="G37" s="39"/>
      <c r="H37" s="40">
        <f>D37+E37+G37+F37</f>
        <v>390.81953000000004</v>
      </c>
    </row>
    <row r="38" spans="1:8" ht="38.25" x14ac:dyDescent="0.2">
      <c r="A38" s="36">
        <v>10</v>
      </c>
      <c r="B38" s="38" t="s">
        <v>15</v>
      </c>
      <c r="C38" s="42" t="s">
        <v>66</v>
      </c>
      <c r="D38" s="17">
        <f>156253.84/1000/1.2</f>
        <v>130.21153333333334</v>
      </c>
      <c r="E38" s="17"/>
      <c r="F38" s="39"/>
      <c r="G38" s="39"/>
      <c r="H38" s="40">
        <f>D38+E38+G38+F38</f>
        <v>130.21153333333334</v>
      </c>
    </row>
    <row r="39" spans="1:8" x14ac:dyDescent="0.2">
      <c r="A39" s="41"/>
      <c r="B39" s="46" t="s">
        <v>42</v>
      </c>
      <c r="C39" s="47"/>
      <c r="D39" s="40">
        <f>D37+D38</f>
        <v>521.03106333333335</v>
      </c>
      <c r="E39" s="40">
        <f t="shared" ref="E39:F39" si="4">E37+E38</f>
        <v>0</v>
      </c>
      <c r="F39" s="40">
        <f t="shared" si="4"/>
        <v>0</v>
      </c>
      <c r="G39" s="40">
        <f>G37+G38</f>
        <v>0</v>
      </c>
      <c r="H39" s="40">
        <f>H37+H38</f>
        <v>521.03106333333335</v>
      </c>
    </row>
    <row r="40" spans="1:8" x14ac:dyDescent="0.2">
      <c r="A40" s="41"/>
      <c r="B40" s="46" t="s">
        <v>37</v>
      </c>
      <c r="C40" s="47"/>
      <c r="D40" s="40">
        <f>D39+D35</f>
        <v>13235.893091666669</v>
      </c>
      <c r="E40" s="40">
        <f t="shared" ref="E40" si="5">E39+E35</f>
        <v>1673.1773833333334</v>
      </c>
      <c r="F40" s="40">
        <f t="shared" ref="F40" si="6">F39+F35</f>
        <v>10197.85</v>
      </c>
      <c r="G40" s="40">
        <f t="shared" ref="G40" si="7">G39+G35</f>
        <v>29.277758333333335</v>
      </c>
      <c r="H40" s="40">
        <f>H39+H35</f>
        <v>25136.198233333336</v>
      </c>
    </row>
    <row r="41" spans="1:8" x14ac:dyDescent="0.2">
      <c r="A41" s="48" t="s">
        <v>40</v>
      </c>
      <c r="B41" s="49"/>
      <c r="C41" s="49"/>
      <c r="D41" s="49"/>
      <c r="E41" s="49"/>
      <c r="F41" s="49"/>
      <c r="G41" s="49"/>
      <c r="H41" s="49"/>
    </row>
    <row r="42" spans="1:8" ht="25.5" x14ac:dyDescent="0.2">
      <c r="A42" s="36">
        <v>11</v>
      </c>
      <c r="B42" s="38" t="s">
        <v>15</v>
      </c>
      <c r="C42" s="42" t="s">
        <v>54</v>
      </c>
      <c r="D42" s="17">
        <f>1633194/1000/1.2</f>
        <v>1360.9950000000001</v>
      </c>
      <c r="E42" s="17"/>
      <c r="F42" s="39"/>
      <c r="G42" s="39"/>
      <c r="H42" s="40">
        <f>D42+E42+G42+F42</f>
        <v>1360.9950000000001</v>
      </c>
    </row>
    <row r="43" spans="1:8" x14ac:dyDescent="0.2">
      <c r="A43" s="41"/>
      <c r="B43" s="46" t="s">
        <v>41</v>
      </c>
      <c r="C43" s="47"/>
      <c r="D43" s="40">
        <f>D42</f>
        <v>1360.9950000000001</v>
      </c>
      <c r="E43" s="40">
        <f>E42</f>
        <v>0</v>
      </c>
      <c r="F43" s="39">
        <f>F42</f>
        <v>0</v>
      </c>
      <c r="G43" s="39">
        <f>G42</f>
        <v>0</v>
      </c>
      <c r="H43" s="40">
        <f>H42</f>
        <v>1360.9950000000001</v>
      </c>
    </row>
    <row r="44" spans="1:8" x14ac:dyDescent="0.2">
      <c r="A44" s="41"/>
      <c r="B44" s="46" t="s">
        <v>38</v>
      </c>
      <c r="C44" s="47"/>
      <c r="D44" s="40">
        <f>D43+D40</f>
        <v>14596.888091666669</v>
      </c>
      <c r="E44" s="40">
        <f t="shared" ref="E44" si="8">E43+E40</f>
        <v>1673.1773833333334</v>
      </c>
      <c r="F44" s="40">
        <f t="shared" ref="F44" si="9">F43+F40</f>
        <v>10197.85</v>
      </c>
      <c r="G44" s="40">
        <f t="shared" ref="G44" si="10">G43+G40</f>
        <v>29.277758333333335</v>
      </c>
      <c r="H44" s="40">
        <f>H43+H40</f>
        <v>26497.193233333335</v>
      </c>
    </row>
    <row r="45" spans="1:8" x14ac:dyDescent="0.2">
      <c r="A45" s="48" t="s">
        <v>31</v>
      </c>
      <c r="B45" s="49"/>
      <c r="C45" s="49"/>
      <c r="D45" s="49"/>
      <c r="E45" s="49"/>
      <c r="F45" s="49"/>
      <c r="G45" s="49"/>
      <c r="H45" s="49"/>
    </row>
    <row r="46" spans="1:8" ht="38.25" x14ac:dyDescent="0.2">
      <c r="A46" s="36">
        <v>12</v>
      </c>
      <c r="B46" s="43" t="s">
        <v>15</v>
      </c>
      <c r="C46" s="43" t="s">
        <v>55</v>
      </c>
      <c r="D46" s="43"/>
      <c r="E46" s="43"/>
      <c r="F46" s="43"/>
      <c r="G46" s="44">
        <f>844.41</f>
        <v>844.41</v>
      </c>
      <c r="H46" s="40">
        <f t="shared" ref="H46:H55" si="11">G46+F46+E46+D46</f>
        <v>844.41</v>
      </c>
    </row>
    <row r="47" spans="1:8" ht="38.25" x14ac:dyDescent="0.2">
      <c r="A47" s="36">
        <v>13</v>
      </c>
      <c r="B47" s="43" t="s">
        <v>15</v>
      </c>
      <c r="C47" s="43" t="s">
        <v>61</v>
      </c>
      <c r="D47" s="43"/>
      <c r="E47" s="43"/>
      <c r="F47" s="43"/>
      <c r="G47" s="44">
        <f>877/1000</f>
        <v>0.877</v>
      </c>
      <c r="H47" s="40">
        <f t="shared" si="11"/>
        <v>0.877</v>
      </c>
    </row>
    <row r="48" spans="1:8" ht="38.25" x14ac:dyDescent="0.2">
      <c r="A48" s="36">
        <v>14</v>
      </c>
      <c r="B48" s="43" t="s">
        <v>15</v>
      </c>
      <c r="C48" s="43" t="s">
        <v>63</v>
      </c>
      <c r="D48" s="43"/>
      <c r="E48" s="43"/>
      <c r="F48" s="43"/>
      <c r="G48" s="44">
        <f>877/1000</f>
        <v>0.877</v>
      </c>
      <c r="H48" s="40">
        <f t="shared" si="11"/>
        <v>0.877</v>
      </c>
    </row>
    <row r="49" spans="1:8" ht="51" x14ac:dyDescent="0.2">
      <c r="A49" s="36">
        <v>15</v>
      </c>
      <c r="B49" s="43" t="s">
        <v>15</v>
      </c>
      <c r="C49" s="43" t="s">
        <v>73</v>
      </c>
      <c r="D49" s="43"/>
      <c r="E49" s="43"/>
      <c r="F49" s="43"/>
      <c r="G49" s="44">
        <f>5582.4/1000/1.2</f>
        <v>4.6520000000000001</v>
      </c>
      <c r="H49" s="40">
        <f t="shared" si="11"/>
        <v>4.6520000000000001</v>
      </c>
    </row>
    <row r="50" spans="1:8" ht="38.25" x14ac:dyDescent="0.2">
      <c r="A50" s="36">
        <v>16</v>
      </c>
      <c r="B50" s="37" t="s">
        <v>48</v>
      </c>
      <c r="C50" s="38" t="s">
        <v>56</v>
      </c>
      <c r="D50" s="39"/>
      <c r="E50" s="39"/>
      <c r="F50" s="39"/>
      <c r="G50" s="40">
        <f>75600/1000/1.2</f>
        <v>63</v>
      </c>
      <c r="H50" s="40">
        <f t="shared" si="11"/>
        <v>63</v>
      </c>
    </row>
    <row r="51" spans="1:8" ht="38.25" x14ac:dyDescent="0.2">
      <c r="A51" s="36">
        <v>17</v>
      </c>
      <c r="B51" s="37" t="s">
        <v>48</v>
      </c>
      <c r="C51" s="38" t="s">
        <v>60</v>
      </c>
      <c r="D51" s="39"/>
      <c r="E51" s="39"/>
      <c r="F51" s="39"/>
      <c r="G51" s="40">
        <f>25200/1000/1.2</f>
        <v>21</v>
      </c>
      <c r="H51" s="40">
        <f t="shared" si="11"/>
        <v>21</v>
      </c>
    </row>
    <row r="52" spans="1:8" ht="38.25" x14ac:dyDescent="0.2">
      <c r="A52" s="36">
        <v>18</v>
      </c>
      <c r="B52" s="37" t="s">
        <v>48</v>
      </c>
      <c r="C52" s="38" t="s">
        <v>64</v>
      </c>
      <c r="D52" s="39"/>
      <c r="E52" s="39"/>
      <c r="F52" s="39"/>
      <c r="G52" s="40">
        <f>25200/1000/1.2</f>
        <v>21</v>
      </c>
      <c r="H52" s="40">
        <f t="shared" si="11"/>
        <v>21</v>
      </c>
    </row>
    <row r="53" spans="1:8" ht="38.25" x14ac:dyDescent="0.2">
      <c r="A53" s="36">
        <v>19</v>
      </c>
      <c r="B53" s="37" t="s">
        <v>48</v>
      </c>
      <c r="C53" s="38" t="s">
        <v>69</v>
      </c>
      <c r="D53" s="39"/>
      <c r="E53" s="39"/>
      <c r="F53" s="39"/>
      <c r="G53" s="40">
        <f>25200/1000/1.2</f>
        <v>21</v>
      </c>
      <c r="H53" s="40">
        <f t="shared" si="11"/>
        <v>21</v>
      </c>
    </row>
    <row r="54" spans="1:8" ht="51" x14ac:dyDescent="0.2">
      <c r="A54" s="36">
        <v>20</v>
      </c>
      <c r="B54" s="37" t="s">
        <v>48</v>
      </c>
      <c r="C54" s="38" t="s">
        <v>74</v>
      </c>
      <c r="D54" s="39"/>
      <c r="E54" s="39"/>
      <c r="F54" s="39"/>
      <c r="G54" s="40">
        <f>26966.4/1000/1.2</f>
        <v>22.472000000000001</v>
      </c>
      <c r="H54" s="40">
        <f t="shared" si="11"/>
        <v>22.472000000000001</v>
      </c>
    </row>
    <row r="55" spans="1:8" ht="51" x14ac:dyDescent="0.2">
      <c r="A55" s="36">
        <v>21</v>
      </c>
      <c r="B55" s="37" t="s">
        <v>48</v>
      </c>
      <c r="C55" s="38" t="s">
        <v>80</v>
      </c>
      <c r="D55" s="39"/>
      <c r="E55" s="39"/>
      <c r="F55" s="39"/>
      <c r="G55" s="40">
        <f>107100/1000/1.2</f>
        <v>89.25</v>
      </c>
      <c r="H55" s="40">
        <f t="shared" si="11"/>
        <v>89.25</v>
      </c>
    </row>
    <row r="56" spans="1:8" ht="38.25" x14ac:dyDescent="0.2">
      <c r="A56" s="36">
        <v>22</v>
      </c>
      <c r="B56" s="38" t="s">
        <v>49</v>
      </c>
      <c r="C56" s="38" t="s">
        <v>51</v>
      </c>
      <c r="D56" s="39"/>
      <c r="E56" s="39"/>
      <c r="F56" s="39"/>
      <c r="G56" s="40">
        <f>(D44+E44+F44+G44+H46+H50+H55+H65+H61+H60+H47+H48+H49+H51+H52+H53+H54+H66+H67+H68+H69)/100*6.7</f>
        <v>2245.8507005829542</v>
      </c>
      <c r="H56" s="40">
        <f>G56+F56+E56+D56</f>
        <v>2245.8507005829542</v>
      </c>
    </row>
    <row r="57" spans="1:8" x14ac:dyDescent="0.2">
      <c r="A57" s="41"/>
      <c r="B57" s="46" t="s">
        <v>33</v>
      </c>
      <c r="C57" s="47"/>
      <c r="D57" s="39">
        <f>D55+D46+D50+D56+D47+D48+D49+D51+D52+D53+D54</f>
        <v>0</v>
      </c>
      <c r="E57" s="39">
        <f t="shared" ref="E57:G57" si="12">E55+E46+E50+E56+E47+E48+E49+E51+E52+E53+E54</f>
        <v>0</v>
      </c>
      <c r="F57" s="39">
        <f t="shared" si="12"/>
        <v>0</v>
      </c>
      <c r="G57" s="39">
        <f t="shared" si="12"/>
        <v>3334.3887005829542</v>
      </c>
      <c r="H57" s="40">
        <f>D57+E57+F57+G57</f>
        <v>3334.3887005829542</v>
      </c>
    </row>
    <row r="58" spans="1:8" x14ac:dyDescent="0.2">
      <c r="A58" s="41"/>
      <c r="B58" s="46" t="s">
        <v>17</v>
      </c>
      <c r="C58" s="47"/>
      <c r="D58" s="40">
        <f>D57+D44</f>
        <v>14596.888091666669</v>
      </c>
      <c r="E58" s="40">
        <f>E57+E44</f>
        <v>1673.1773833333334</v>
      </c>
      <c r="F58" s="40">
        <f>F57+F44</f>
        <v>10197.85</v>
      </c>
      <c r="G58" s="40">
        <f>G57+G44</f>
        <v>3363.6664589162874</v>
      </c>
      <c r="H58" s="40">
        <f>H57+H44</f>
        <v>29831.581933916288</v>
      </c>
    </row>
    <row r="59" spans="1:8" x14ac:dyDescent="0.2">
      <c r="A59" s="48" t="s">
        <v>27</v>
      </c>
      <c r="B59" s="49"/>
      <c r="C59" s="49"/>
      <c r="D59" s="49"/>
      <c r="E59" s="49"/>
      <c r="F59" s="49"/>
      <c r="G59" s="49"/>
      <c r="H59" s="49"/>
    </row>
    <row r="60" spans="1:8" ht="39" customHeight="1" x14ac:dyDescent="0.2">
      <c r="A60" s="36">
        <v>23</v>
      </c>
      <c r="B60" s="38" t="s">
        <v>50</v>
      </c>
      <c r="C60" s="38" t="s">
        <v>25</v>
      </c>
      <c r="D60" s="39"/>
      <c r="E60" s="39"/>
      <c r="F60" s="39"/>
      <c r="G60" s="40">
        <f>(D44+E44+F44+G44+H46+H50+H55+H47+H48+H49+H51+H52+H53+H54)/100*2.14</f>
        <v>590.3346483933334</v>
      </c>
      <c r="H60" s="40">
        <f>D60+E60+F60+G60</f>
        <v>590.3346483933334</v>
      </c>
    </row>
    <row r="61" spans="1:8" ht="41.25" customHeight="1" x14ac:dyDescent="0.2">
      <c r="A61" s="36">
        <v>24</v>
      </c>
      <c r="B61" s="38" t="s">
        <v>52</v>
      </c>
      <c r="C61" s="45" t="s">
        <v>26</v>
      </c>
      <c r="D61" s="39"/>
      <c r="E61" s="39"/>
      <c r="F61" s="39"/>
      <c r="G61" s="40">
        <f>(D44+E44+F44+G44+H46+H50+H55+H65+H47+H48+H49+H51+H52+H53+H54+H66+H67+H68+H69)/100*11.7</f>
        <v>3449.2296618000005</v>
      </c>
      <c r="H61" s="40">
        <f>D61+E61+F61+G61</f>
        <v>3449.2296618000005</v>
      </c>
    </row>
    <row r="62" spans="1:8" ht="12.75" customHeight="1" x14ac:dyDescent="0.2">
      <c r="A62" s="58" t="s">
        <v>30</v>
      </c>
      <c r="B62" s="59"/>
      <c r="C62" s="60"/>
      <c r="D62" s="39">
        <f>D60+D61</f>
        <v>0</v>
      </c>
      <c r="E62" s="39">
        <f t="shared" ref="E62:F62" si="13">E60+E61</f>
        <v>0</v>
      </c>
      <c r="F62" s="39">
        <f t="shared" si="13"/>
        <v>0</v>
      </c>
      <c r="G62" s="39">
        <f>G60+G61</f>
        <v>4039.5643101933338</v>
      </c>
      <c r="H62" s="40">
        <f>D62+E62+F62+G62</f>
        <v>4039.5643101933338</v>
      </c>
    </row>
    <row r="63" spans="1:8" x14ac:dyDescent="0.2">
      <c r="A63" s="41"/>
      <c r="B63" s="46" t="s">
        <v>28</v>
      </c>
      <c r="C63" s="47"/>
      <c r="D63" s="40">
        <f>D58+D62</f>
        <v>14596.888091666669</v>
      </c>
      <c r="E63" s="40">
        <f t="shared" ref="E63:G63" si="14">E58+E62</f>
        <v>1673.1773833333334</v>
      </c>
      <c r="F63" s="40">
        <f t="shared" si="14"/>
        <v>10197.85</v>
      </c>
      <c r="G63" s="40">
        <f t="shared" si="14"/>
        <v>7403.2307691096212</v>
      </c>
      <c r="H63" s="40">
        <f>H62+H58</f>
        <v>33871.146244109623</v>
      </c>
    </row>
    <row r="64" spans="1:8" x14ac:dyDescent="0.2">
      <c r="A64" s="48" t="s">
        <v>18</v>
      </c>
      <c r="B64" s="49"/>
      <c r="C64" s="49"/>
      <c r="D64" s="49"/>
      <c r="E64" s="49"/>
      <c r="F64" s="49"/>
      <c r="G64" s="49"/>
      <c r="H64" s="49"/>
    </row>
    <row r="65" spans="1:8" ht="38.25" x14ac:dyDescent="0.2">
      <c r="A65" s="36">
        <v>25</v>
      </c>
      <c r="B65" s="37" t="s">
        <v>15</v>
      </c>
      <c r="C65" s="38" t="s">
        <v>57</v>
      </c>
      <c r="D65" s="39"/>
      <c r="E65" s="39"/>
      <c r="F65" s="39"/>
      <c r="G65" s="40">
        <f>1038930.74/1000/1.2</f>
        <v>865.77561666666668</v>
      </c>
      <c r="H65" s="40">
        <f>G65+F65+E65+D65</f>
        <v>865.77561666666668</v>
      </c>
    </row>
    <row r="66" spans="1:8" ht="38.25" x14ac:dyDescent="0.2">
      <c r="A66" s="36">
        <v>26</v>
      </c>
      <c r="B66" s="37" t="s">
        <v>15</v>
      </c>
      <c r="C66" s="38" t="s">
        <v>59</v>
      </c>
      <c r="D66" s="39"/>
      <c r="E66" s="39"/>
      <c r="F66" s="39"/>
      <c r="G66" s="40">
        <f>452862.62/1000/1.2</f>
        <v>377.38551666666666</v>
      </c>
      <c r="H66" s="40">
        <f t="shared" ref="H66:H69" si="15">G66+F66+E66+D66</f>
        <v>377.38551666666666</v>
      </c>
    </row>
    <row r="67" spans="1:8" ht="38.25" x14ac:dyDescent="0.2">
      <c r="A67" s="36">
        <v>27</v>
      </c>
      <c r="B67" s="37" t="s">
        <v>15</v>
      </c>
      <c r="C67" s="38" t="s">
        <v>65</v>
      </c>
      <c r="D67" s="39"/>
      <c r="E67" s="39"/>
      <c r="F67" s="39"/>
      <c r="G67" s="40">
        <f>269309.4/1000/1.2</f>
        <v>224.42450000000005</v>
      </c>
      <c r="H67" s="40">
        <f t="shared" si="15"/>
        <v>224.42450000000005</v>
      </c>
    </row>
    <row r="68" spans="1:8" ht="38.25" x14ac:dyDescent="0.2">
      <c r="A68" s="36">
        <v>28</v>
      </c>
      <c r="B68" s="37" t="s">
        <v>15</v>
      </c>
      <c r="C68" s="38" t="s">
        <v>70</v>
      </c>
      <c r="D68" s="39"/>
      <c r="E68" s="39"/>
      <c r="F68" s="39"/>
      <c r="G68" s="40">
        <f>183219.64/1000/1.2</f>
        <v>152.68303333333336</v>
      </c>
      <c r="H68" s="40">
        <f t="shared" si="15"/>
        <v>152.68303333333336</v>
      </c>
    </row>
    <row r="69" spans="1:8" ht="51" x14ac:dyDescent="0.2">
      <c r="A69" s="36">
        <v>29</v>
      </c>
      <c r="B69" s="37" t="s">
        <v>15</v>
      </c>
      <c r="C69" s="38" t="s">
        <v>81</v>
      </c>
      <c r="D69" s="39"/>
      <c r="E69" s="39"/>
      <c r="F69" s="39"/>
      <c r="G69" s="40">
        <f>329514.6/1000/1.2</f>
        <v>274.59550000000002</v>
      </c>
      <c r="H69" s="40">
        <f t="shared" si="15"/>
        <v>274.59550000000002</v>
      </c>
    </row>
    <row r="70" spans="1:8" x14ac:dyDescent="0.2">
      <c r="A70" s="41"/>
      <c r="B70" s="46" t="s">
        <v>19</v>
      </c>
      <c r="C70" s="47"/>
      <c r="D70" s="40">
        <f>D65+D66+D67+D68+D69</f>
        <v>0</v>
      </c>
      <c r="E70" s="40">
        <f t="shared" ref="E70:G70" si="16">E65+E66+E67+E68+E69</f>
        <v>0</v>
      </c>
      <c r="F70" s="40">
        <f t="shared" si="16"/>
        <v>0</v>
      </c>
      <c r="G70" s="40">
        <f t="shared" si="16"/>
        <v>1894.8641666666667</v>
      </c>
      <c r="H70" s="40">
        <f>G70+F70+E70+D70</f>
        <v>1894.8641666666667</v>
      </c>
    </row>
    <row r="71" spans="1:8" x14ac:dyDescent="0.2">
      <c r="A71" s="41"/>
      <c r="B71" s="46" t="s">
        <v>20</v>
      </c>
      <c r="C71" s="47"/>
      <c r="D71" s="40">
        <f>D63+D70</f>
        <v>14596.888091666669</v>
      </c>
      <c r="E71" s="40">
        <f>E63+E70</f>
        <v>1673.1773833333334</v>
      </c>
      <c r="F71" s="40">
        <f>F63+F70</f>
        <v>10197.85</v>
      </c>
      <c r="G71" s="40">
        <f>G63+G70</f>
        <v>9298.0949357762875</v>
      </c>
      <c r="H71" s="40">
        <f>D71+E71+F71+G71</f>
        <v>35766.010410776289</v>
      </c>
    </row>
    <row r="72" spans="1:8" x14ac:dyDescent="0.2">
      <c r="A72" s="48" t="s">
        <v>21</v>
      </c>
      <c r="B72" s="49"/>
      <c r="C72" s="49"/>
      <c r="D72" s="49"/>
      <c r="E72" s="49"/>
      <c r="F72" s="49"/>
      <c r="G72" s="49"/>
      <c r="H72" s="49"/>
    </row>
    <row r="73" spans="1:8" x14ac:dyDescent="0.2">
      <c r="A73" s="36">
        <v>30</v>
      </c>
      <c r="B73" s="37"/>
      <c r="C73" s="38" t="s">
        <v>22</v>
      </c>
      <c r="D73" s="40">
        <f>D71/100*20</f>
        <v>2919.3776183333339</v>
      </c>
      <c r="E73" s="40">
        <f>E71/100*20</f>
        <v>334.6354766666667</v>
      </c>
      <c r="F73" s="40">
        <f>F71/100*20</f>
        <v>2039.57</v>
      </c>
      <c r="G73" s="40">
        <f>G71/100*20</f>
        <v>1859.6189871552576</v>
      </c>
      <c r="H73" s="40">
        <f>H71/100*20</f>
        <v>7153.2020821552578</v>
      </c>
    </row>
    <row r="74" spans="1:8" x14ac:dyDescent="0.2">
      <c r="A74" s="41"/>
      <c r="B74" s="46" t="s">
        <v>23</v>
      </c>
      <c r="C74" s="47"/>
      <c r="D74" s="40">
        <f>D73</f>
        <v>2919.3776183333339</v>
      </c>
      <c r="E74" s="40">
        <f>E73</f>
        <v>334.6354766666667</v>
      </c>
      <c r="F74" s="39">
        <f>F73</f>
        <v>2039.57</v>
      </c>
      <c r="G74" s="40">
        <f>G73</f>
        <v>1859.6189871552576</v>
      </c>
      <c r="H74" s="40">
        <f>D74+E74+F74+G74</f>
        <v>7153.2020821552587</v>
      </c>
    </row>
    <row r="75" spans="1:8" x14ac:dyDescent="0.2">
      <c r="A75" s="41"/>
      <c r="B75" s="46" t="s">
        <v>24</v>
      </c>
      <c r="C75" s="47"/>
      <c r="D75" s="40">
        <f>D71+D73</f>
        <v>17516.265710000003</v>
      </c>
      <c r="E75" s="40">
        <f>E71+E73</f>
        <v>2007.81286</v>
      </c>
      <c r="F75" s="40">
        <f>F71+F73</f>
        <v>12237.42</v>
      </c>
      <c r="G75" s="40">
        <f>G71+G73</f>
        <v>11157.713922931545</v>
      </c>
      <c r="H75" s="40">
        <f>H71+H73</f>
        <v>42919.212492931547</v>
      </c>
    </row>
  </sheetData>
  <mergeCells count="37">
    <mergeCell ref="A23:H23"/>
    <mergeCell ref="B71:C71"/>
    <mergeCell ref="A72:H72"/>
    <mergeCell ref="B74:C74"/>
    <mergeCell ref="B75:C75"/>
    <mergeCell ref="B34:C34"/>
    <mergeCell ref="B35:C35"/>
    <mergeCell ref="A64:H64"/>
    <mergeCell ref="B70:C70"/>
    <mergeCell ref="A59:H59"/>
    <mergeCell ref="B63:C63"/>
    <mergeCell ref="A45:H45"/>
    <mergeCell ref="B57:C57"/>
    <mergeCell ref="A62:C62"/>
    <mergeCell ref="B58:C58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27:C27"/>
    <mergeCell ref="A36:H36"/>
    <mergeCell ref="B39:C39"/>
    <mergeCell ref="B40:C40"/>
    <mergeCell ref="A41:H41"/>
    <mergeCell ref="A28:H28"/>
  </mergeCells>
  <pageMargins left="0.23622047244094491" right="0.23622047244094491" top="0.74803149606299213" bottom="0.74803149606299213" header="0.31496062992125984" footer="0.31496062992125984"/>
  <pageSetup paperSize="9" scale="41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view="pageBreakPreview" topLeftCell="A61" zoomScale="75" zoomScaleNormal="75" zoomScaleSheetLayoutView="75" workbookViewId="0">
      <selection activeCell="H70" sqref="H70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61" t="s">
        <v>2</v>
      </c>
      <c r="D2" s="61"/>
      <c r="E2" s="61"/>
      <c r="F2" s="61"/>
      <c r="G2" s="61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57" t="s">
        <v>46</v>
      </c>
      <c r="C6" s="57"/>
      <c r="D6" s="16">
        <f>H64</f>
        <v>0</v>
      </c>
      <c r="E6" s="2" t="s">
        <v>29</v>
      </c>
      <c r="F6" s="2"/>
      <c r="G6" s="2"/>
      <c r="H6" s="2"/>
    </row>
    <row r="7" spans="2:8" x14ac:dyDescent="0.2">
      <c r="B7" s="64" t="s">
        <v>4</v>
      </c>
      <c r="C7" s="64"/>
      <c r="D7" s="2"/>
      <c r="E7" s="2" t="s">
        <v>29</v>
      </c>
      <c r="F7" s="2"/>
      <c r="G7" s="2"/>
      <c r="H7" s="2"/>
    </row>
    <row r="8" spans="2:8" x14ac:dyDescent="0.2">
      <c r="C8" s="62"/>
      <c r="D8" s="63"/>
      <c r="E8" s="63"/>
      <c r="F8" s="63"/>
      <c r="G8" s="63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118.5" customHeight="1" x14ac:dyDescent="0.2">
      <c r="C14" s="53" t="s">
        <v>77</v>
      </c>
      <c r="D14" s="50"/>
      <c r="E14" s="50"/>
      <c r="F14" s="50"/>
      <c r="G14" s="50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45</v>
      </c>
      <c r="D17" s="13"/>
      <c r="E17" s="2"/>
      <c r="F17" s="2"/>
      <c r="G17" s="2"/>
      <c r="H17" s="2"/>
    </row>
    <row r="18" spans="1:8" ht="12.75" customHeight="1" x14ac:dyDescent="0.2">
      <c r="A18" s="54" t="s">
        <v>8</v>
      </c>
      <c r="B18" s="55" t="s">
        <v>43</v>
      </c>
      <c r="C18" s="55" t="s">
        <v>9</v>
      </c>
      <c r="D18" s="56" t="s">
        <v>10</v>
      </c>
      <c r="E18" s="56"/>
      <c r="F18" s="56"/>
      <c r="G18" s="56"/>
      <c r="H18" s="54" t="s">
        <v>44</v>
      </c>
    </row>
    <row r="19" spans="1:8" ht="12.75" customHeight="1" x14ac:dyDescent="0.2">
      <c r="A19" s="54"/>
      <c r="B19" s="55"/>
      <c r="C19" s="55"/>
      <c r="D19" s="54" t="s">
        <v>11</v>
      </c>
      <c r="E19" s="54" t="s">
        <v>12</v>
      </c>
      <c r="F19" s="54" t="s">
        <v>13</v>
      </c>
      <c r="G19" s="54" t="s">
        <v>36</v>
      </c>
      <c r="H19" s="54"/>
    </row>
    <row r="20" spans="1:8" x14ac:dyDescent="0.2">
      <c r="A20" s="54"/>
      <c r="B20" s="55"/>
      <c r="C20" s="55"/>
      <c r="D20" s="54"/>
      <c r="E20" s="54"/>
      <c r="F20" s="54"/>
      <c r="G20" s="54"/>
      <c r="H20" s="54"/>
    </row>
    <row r="21" spans="1:8" x14ac:dyDescent="0.2">
      <c r="A21" s="54"/>
      <c r="B21" s="55"/>
      <c r="C21" s="55"/>
      <c r="D21" s="54"/>
      <c r="E21" s="54"/>
      <c r="F21" s="54"/>
      <c r="G21" s="54"/>
      <c r="H21" s="54"/>
    </row>
    <row r="22" spans="1:8" x14ac:dyDescent="0.2">
      <c r="A22" s="34">
        <v>1</v>
      </c>
      <c r="B22" s="35">
        <v>2</v>
      </c>
      <c r="C22" s="35">
        <v>3</v>
      </c>
      <c r="D22" s="34">
        <v>4</v>
      </c>
      <c r="E22" s="34">
        <v>5</v>
      </c>
      <c r="F22" s="34">
        <v>6</v>
      </c>
      <c r="G22" s="34">
        <v>7</v>
      </c>
      <c r="H22" s="34">
        <v>8</v>
      </c>
    </row>
    <row r="23" spans="1:8" ht="12.75" customHeight="1" x14ac:dyDescent="0.2">
      <c r="A23" s="48" t="s">
        <v>34</v>
      </c>
      <c r="B23" s="49"/>
      <c r="C23" s="49"/>
      <c r="D23" s="49"/>
      <c r="E23" s="49"/>
      <c r="F23" s="49"/>
      <c r="G23" s="49"/>
      <c r="H23" s="49"/>
    </row>
    <row r="24" spans="1:8" ht="38.25" x14ac:dyDescent="0.2">
      <c r="A24" s="36">
        <v>1</v>
      </c>
      <c r="B24" s="37" t="s">
        <v>48</v>
      </c>
      <c r="C24" s="38" t="s">
        <v>67</v>
      </c>
      <c r="D24" s="39"/>
      <c r="E24" s="39"/>
      <c r="F24" s="39"/>
      <c r="G24" s="40">
        <f>5100/1000/1.2/12.54</f>
        <v>0.33891547049441789</v>
      </c>
      <c r="H24" s="40">
        <f>G24+F24+E24+D24</f>
        <v>0.33891547049441789</v>
      </c>
    </row>
    <row r="25" spans="1:8" ht="38.25" x14ac:dyDescent="0.2">
      <c r="A25" s="36">
        <v>2</v>
      </c>
      <c r="B25" s="37" t="s">
        <v>48</v>
      </c>
      <c r="C25" s="38" t="s">
        <v>71</v>
      </c>
      <c r="D25" s="39"/>
      <c r="E25" s="39"/>
      <c r="F25" s="39"/>
      <c r="G25" s="40">
        <f>5100/1000/1.2/12.54</f>
        <v>0.33891547049441789</v>
      </c>
      <c r="H25" s="40">
        <f t="shared" ref="H25:H26" si="0">G25+F25+E25+D25</f>
        <v>0.33891547049441789</v>
      </c>
    </row>
    <row r="26" spans="1:8" ht="38.25" x14ac:dyDescent="0.2">
      <c r="A26" s="36">
        <v>3</v>
      </c>
      <c r="B26" s="37" t="s">
        <v>48</v>
      </c>
      <c r="C26" s="38" t="s">
        <v>68</v>
      </c>
      <c r="D26" s="39"/>
      <c r="E26" s="39"/>
      <c r="F26" s="39"/>
      <c r="G26" s="40">
        <f>24933.31/1000/1.2/12.54</f>
        <v>1.6569185273790539</v>
      </c>
      <c r="H26" s="40">
        <f t="shared" si="0"/>
        <v>1.6569185273790539</v>
      </c>
    </row>
    <row r="27" spans="1:8" ht="12.75" customHeight="1" x14ac:dyDescent="0.2">
      <c r="A27" s="41"/>
      <c r="B27" s="46" t="s">
        <v>35</v>
      </c>
      <c r="C27" s="47"/>
      <c r="D27" s="40">
        <f>D24+D25+D26</f>
        <v>0</v>
      </c>
      <c r="E27" s="40">
        <f t="shared" ref="E27:G27" si="1">E24+E25+E26</f>
        <v>0</v>
      </c>
      <c r="F27" s="40">
        <f t="shared" si="1"/>
        <v>0</v>
      </c>
      <c r="G27" s="40">
        <f t="shared" si="1"/>
        <v>2.3347494683678898</v>
      </c>
      <c r="H27" s="40">
        <f>H24+H25+H26</f>
        <v>2.3347494683678898</v>
      </c>
    </row>
    <row r="28" spans="1:8" ht="12.75" customHeight="1" x14ac:dyDescent="0.2">
      <c r="A28" s="48" t="s">
        <v>14</v>
      </c>
      <c r="B28" s="49"/>
      <c r="C28" s="49"/>
      <c r="D28" s="49"/>
      <c r="E28" s="49"/>
      <c r="F28" s="49"/>
      <c r="G28" s="49"/>
      <c r="H28" s="49"/>
    </row>
    <row r="29" spans="1:8" ht="25.5" x14ac:dyDescent="0.2">
      <c r="A29" s="36">
        <v>4</v>
      </c>
      <c r="B29" s="38" t="s">
        <v>15</v>
      </c>
      <c r="C29" s="42" t="s">
        <v>54</v>
      </c>
      <c r="D29" s="17">
        <f>(3510.14-D37-D42)/7.21</f>
        <v>453.14422813898869</v>
      </c>
      <c r="E29" s="17">
        <f>412.99/7.21</f>
        <v>57.280166435506246</v>
      </c>
      <c r="F29" s="39">
        <f>10197850/1000/6.33</f>
        <v>1611.0347551342813</v>
      </c>
      <c r="G29" s="39"/>
      <c r="H29" s="40">
        <f>D29+E29+G29+F29</f>
        <v>2121.4591497087763</v>
      </c>
    </row>
    <row r="30" spans="1:8" ht="38.25" x14ac:dyDescent="0.2">
      <c r="A30" s="36">
        <v>5</v>
      </c>
      <c r="B30" s="38" t="s">
        <v>15</v>
      </c>
      <c r="C30" s="42" t="s">
        <v>58</v>
      </c>
      <c r="D30" s="17">
        <f>(4185.06-G47)/7.21</f>
        <v>580.43527924884734</v>
      </c>
      <c r="E30" s="17">
        <f>296.49/7.21</f>
        <v>41.12205270457698</v>
      </c>
      <c r="F30" s="39"/>
      <c r="G30" s="39"/>
      <c r="H30" s="40">
        <f t="shared" ref="H30:H33" si="2">D30+E30+G30+F30</f>
        <v>621.5573319534243</v>
      </c>
    </row>
    <row r="31" spans="1:8" ht="38.25" x14ac:dyDescent="0.2">
      <c r="A31" s="36">
        <v>6</v>
      </c>
      <c r="B31" s="38" t="s">
        <v>15</v>
      </c>
      <c r="C31" s="42" t="s">
        <v>62</v>
      </c>
      <c r="D31" s="17">
        <f>(2406.41-G48)/7.21</f>
        <v>333.74318493539369</v>
      </c>
      <c r="E31" s="17">
        <f>191.16/7.21</f>
        <v>26.513176144244106</v>
      </c>
      <c r="F31" s="39"/>
      <c r="G31" s="39"/>
      <c r="H31" s="40">
        <f t="shared" si="2"/>
        <v>360.25636107963777</v>
      </c>
    </row>
    <row r="32" spans="1:8" ht="38.25" x14ac:dyDescent="0.2">
      <c r="A32" s="36">
        <v>7</v>
      </c>
      <c r="B32" s="38" t="s">
        <v>15</v>
      </c>
      <c r="C32" s="42" t="s">
        <v>66</v>
      </c>
      <c r="D32" s="17">
        <f>(1658.59-D38)/7.21</f>
        <v>227.53538806417089</v>
      </c>
      <c r="E32" s="17">
        <f>186.82/7.21</f>
        <v>25.91123439667129</v>
      </c>
      <c r="F32" s="39"/>
      <c r="G32" s="39"/>
      <c r="H32" s="40">
        <f t="shared" si="2"/>
        <v>253.44662246084218</v>
      </c>
    </row>
    <row r="33" spans="1:8" ht="38.25" x14ac:dyDescent="0.2">
      <c r="A33" s="36">
        <v>8</v>
      </c>
      <c r="B33" s="38" t="s">
        <v>15</v>
      </c>
      <c r="C33" s="42" t="s">
        <v>72</v>
      </c>
      <c r="D33" s="17">
        <f>(3129321.6+276808.91)/1000/1.2/7.21</f>
        <v>393.68128871937131</v>
      </c>
      <c r="E33" s="17">
        <f>(428506.8+274354.06)/1000/1.2/7.21</f>
        <v>81.236807674526133</v>
      </c>
      <c r="F33" s="39"/>
      <c r="G33" s="39"/>
      <c r="H33" s="40">
        <f t="shared" si="2"/>
        <v>474.91809639389743</v>
      </c>
    </row>
    <row r="34" spans="1:8" ht="12.75" customHeight="1" x14ac:dyDescent="0.2">
      <c r="A34" s="41"/>
      <c r="B34" s="46" t="s">
        <v>16</v>
      </c>
      <c r="C34" s="47"/>
      <c r="D34" s="40">
        <f>D29+D30+D31+D32+D33</f>
        <v>1988.539369106772</v>
      </c>
      <c r="E34" s="40">
        <f t="shared" ref="E34:G34" si="3">E29+E30+E31+E32+E33</f>
        <v>232.06343735552474</v>
      </c>
      <c r="F34" s="40">
        <f t="shared" si="3"/>
        <v>1611.0347551342813</v>
      </c>
      <c r="G34" s="40">
        <f t="shared" si="3"/>
        <v>0</v>
      </c>
      <c r="H34" s="40">
        <f>D34+E34+F34+G34</f>
        <v>3831.6375615965781</v>
      </c>
    </row>
    <row r="35" spans="1:8" ht="12.75" customHeight="1" x14ac:dyDescent="0.2">
      <c r="A35" s="41"/>
      <c r="B35" s="46" t="s">
        <v>32</v>
      </c>
      <c r="C35" s="47"/>
      <c r="D35" s="40">
        <f>D34+D27</f>
        <v>1988.539369106772</v>
      </c>
      <c r="E35" s="40">
        <f>E34+E27</f>
        <v>232.06343735552474</v>
      </c>
      <c r="F35" s="40">
        <f>F34+F27</f>
        <v>1611.0347551342813</v>
      </c>
      <c r="G35" s="40">
        <f>G34+G27</f>
        <v>2.3347494683678898</v>
      </c>
      <c r="H35" s="40">
        <f>H34+H27</f>
        <v>3833.9723110649461</v>
      </c>
    </row>
    <row r="36" spans="1:8" ht="12.75" customHeight="1" x14ac:dyDescent="0.2">
      <c r="A36" s="48" t="s">
        <v>39</v>
      </c>
      <c r="B36" s="49"/>
      <c r="C36" s="49"/>
      <c r="D36" s="49"/>
      <c r="E36" s="49"/>
      <c r="F36" s="49"/>
      <c r="G36" s="49"/>
      <c r="H36" s="49"/>
    </row>
    <row r="37" spans="1:8" ht="25.5" x14ac:dyDescent="0.2">
      <c r="A37" s="36">
        <v>9</v>
      </c>
      <c r="B37" s="38" t="s">
        <v>15</v>
      </c>
      <c r="C37" s="42" t="s">
        <v>54</v>
      </c>
      <c r="D37" s="17">
        <f>(222175+8419.19+160225.34)/1000/7.21</f>
        <v>54.205205270457704</v>
      </c>
      <c r="E37" s="17"/>
      <c r="F37" s="39"/>
      <c r="G37" s="39"/>
      <c r="H37" s="40">
        <f>D37+E37+G37+F37</f>
        <v>54.205205270457704</v>
      </c>
    </row>
    <row r="38" spans="1:8" ht="38.25" x14ac:dyDescent="0.2">
      <c r="A38" s="36">
        <v>10</v>
      </c>
      <c r="B38" s="38" t="s">
        <v>15</v>
      </c>
      <c r="C38" s="42" t="s">
        <v>66</v>
      </c>
      <c r="D38" s="17">
        <f>156253.84/1000/1.2/7.21</f>
        <v>18.059852057327785</v>
      </c>
      <c r="E38" s="17"/>
      <c r="F38" s="39"/>
      <c r="G38" s="39"/>
      <c r="H38" s="40">
        <f>D38+E38+G38+F38</f>
        <v>18.059852057327785</v>
      </c>
    </row>
    <row r="39" spans="1:8" ht="12.75" customHeight="1" x14ac:dyDescent="0.2">
      <c r="A39" s="41"/>
      <c r="B39" s="46" t="s">
        <v>42</v>
      </c>
      <c r="C39" s="47"/>
      <c r="D39" s="40">
        <f>D37+D38</f>
        <v>72.265057327785485</v>
      </c>
      <c r="E39" s="40">
        <f t="shared" ref="E39:F39" si="4">E37+E38</f>
        <v>0</v>
      </c>
      <c r="F39" s="40">
        <f t="shared" si="4"/>
        <v>0</v>
      </c>
      <c r="G39" s="40">
        <f>G37+G38</f>
        <v>0</v>
      </c>
      <c r="H39" s="40">
        <f>H37+H38</f>
        <v>72.265057327785485</v>
      </c>
    </row>
    <row r="40" spans="1:8" ht="12.75" customHeight="1" x14ac:dyDescent="0.2">
      <c r="A40" s="41"/>
      <c r="B40" s="46" t="s">
        <v>37</v>
      </c>
      <c r="C40" s="47"/>
      <c r="D40" s="40">
        <f>D39+D35</f>
        <v>2060.8044264345576</v>
      </c>
      <c r="E40" s="40">
        <f t="shared" ref="E40:G40" si="5">E39+E35</f>
        <v>232.06343735552474</v>
      </c>
      <c r="F40" s="40">
        <f t="shared" si="5"/>
        <v>1611.0347551342813</v>
      </c>
      <c r="G40" s="40">
        <f t="shared" si="5"/>
        <v>2.3347494683678898</v>
      </c>
      <c r="H40" s="40">
        <f>H39+H35</f>
        <v>3906.2373683927317</v>
      </c>
    </row>
    <row r="41" spans="1:8" ht="12.75" customHeight="1" x14ac:dyDescent="0.2">
      <c r="A41" s="48" t="s">
        <v>40</v>
      </c>
      <c r="B41" s="49"/>
      <c r="C41" s="49"/>
      <c r="D41" s="49"/>
      <c r="E41" s="49"/>
      <c r="F41" s="49"/>
      <c r="G41" s="49"/>
      <c r="H41" s="49"/>
    </row>
    <row r="42" spans="1:8" ht="25.5" x14ac:dyDescent="0.2">
      <c r="A42" s="36">
        <v>11</v>
      </c>
      <c r="B42" s="38" t="s">
        <v>15</v>
      </c>
      <c r="C42" s="42" t="s">
        <v>54</v>
      </c>
      <c r="D42" s="17">
        <f>1633194/1000/1.2/7.21</f>
        <v>188.76490984743413</v>
      </c>
      <c r="E42" s="17"/>
      <c r="F42" s="39"/>
      <c r="G42" s="39"/>
      <c r="H42" s="40">
        <f>D42+E42+G42+F42</f>
        <v>188.76490984743413</v>
      </c>
    </row>
    <row r="43" spans="1:8" ht="12.75" customHeight="1" x14ac:dyDescent="0.2">
      <c r="A43" s="41"/>
      <c r="B43" s="46" t="s">
        <v>41</v>
      </c>
      <c r="C43" s="47"/>
      <c r="D43" s="40">
        <f>D42</f>
        <v>188.76490984743413</v>
      </c>
      <c r="E43" s="40">
        <f>E42</f>
        <v>0</v>
      </c>
      <c r="F43" s="39">
        <f>F42</f>
        <v>0</v>
      </c>
      <c r="G43" s="39">
        <f>G42</f>
        <v>0</v>
      </c>
      <c r="H43" s="40">
        <f>H42</f>
        <v>188.76490984743413</v>
      </c>
    </row>
    <row r="44" spans="1:8" ht="12.75" customHeight="1" x14ac:dyDescent="0.2">
      <c r="A44" s="41"/>
      <c r="B44" s="46" t="s">
        <v>38</v>
      </c>
      <c r="C44" s="47"/>
      <c r="D44" s="40">
        <f>D43+D40</f>
        <v>2249.5693362819916</v>
      </c>
      <c r="E44" s="40">
        <f t="shared" ref="E44:G44" si="6">E43+E40</f>
        <v>232.06343735552474</v>
      </c>
      <c r="F44" s="40">
        <f t="shared" si="6"/>
        <v>1611.0347551342813</v>
      </c>
      <c r="G44" s="40">
        <f t="shared" si="6"/>
        <v>2.3347494683678898</v>
      </c>
      <c r="H44" s="40">
        <f>H43+H40</f>
        <v>4095.0022782401657</v>
      </c>
    </row>
    <row r="45" spans="1:8" ht="12.75" customHeight="1" x14ac:dyDescent="0.2">
      <c r="A45" s="48" t="s">
        <v>31</v>
      </c>
      <c r="B45" s="49"/>
      <c r="C45" s="49"/>
      <c r="D45" s="49"/>
      <c r="E45" s="49"/>
      <c r="F45" s="49"/>
      <c r="G45" s="49"/>
      <c r="H45" s="49"/>
    </row>
    <row r="46" spans="1:8" ht="38.25" x14ac:dyDescent="0.2">
      <c r="A46" s="36">
        <v>12</v>
      </c>
      <c r="B46" s="43" t="s">
        <v>15</v>
      </c>
      <c r="C46" s="43" t="s">
        <v>55</v>
      </c>
      <c r="D46" s="43"/>
      <c r="E46" s="43"/>
      <c r="F46" s="43"/>
      <c r="G46" s="44">
        <f>844.41/7.21</f>
        <v>117.11650485436893</v>
      </c>
      <c r="H46" s="40">
        <f t="shared" ref="H46:H55" si="7">G46+F46+E46+D46</f>
        <v>117.11650485436893</v>
      </c>
    </row>
    <row r="47" spans="1:8" ht="38.25" x14ac:dyDescent="0.2">
      <c r="A47" s="36">
        <v>13</v>
      </c>
      <c r="B47" s="43" t="s">
        <v>15</v>
      </c>
      <c r="C47" s="43" t="s">
        <v>61</v>
      </c>
      <c r="D47" s="43"/>
      <c r="E47" s="43"/>
      <c r="F47" s="43"/>
      <c r="G47" s="44">
        <f>877/1000/7.21</f>
        <v>0.1216366158113731</v>
      </c>
      <c r="H47" s="40">
        <f t="shared" si="7"/>
        <v>0.1216366158113731</v>
      </c>
    </row>
    <row r="48" spans="1:8" ht="38.25" x14ac:dyDescent="0.2">
      <c r="A48" s="36">
        <v>14</v>
      </c>
      <c r="B48" s="43" t="s">
        <v>15</v>
      </c>
      <c r="C48" s="43" t="s">
        <v>63</v>
      </c>
      <c r="D48" s="43"/>
      <c r="E48" s="43"/>
      <c r="F48" s="43"/>
      <c r="G48" s="44">
        <f>877/1000/7.21</f>
        <v>0.1216366158113731</v>
      </c>
      <c r="H48" s="40">
        <f t="shared" si="7"/>
        <v>0.1216366158113731</v>
      </c>
    </row>
    <row r="49" spans="1:8" ht="51" x14ac:dyDescent="0.2">
      <c r="A49" s="36">
        <v>15</v>
      </c>
      <c r="B49" s="43" t="s">
        <v>15</v>
      </c>
      <c r="C49" s="43" t="s">
        <v>73</v>
      </c>
      <c r="D49" s="43"/>
      <c r="E49" s="43"/>
      <c r="F49" s="43"/>
      <c r="G49" s="44">
        <f>5582.4/1000/1.2/7.21</f>
        <v>0.6452149791955617</v>
      </c>
      <c r="H49" s="40">
        <f t="shared" si="7"/>
        <v>0.6452149791955617</v>
      </c>
    </row>
    <row r="50" spans="1:8" ht="38.25" x14ac:dyDescent="0.2">
      <c r="A50" s="36">
        <v>16</v>
      </c>
      <c r="B50" s="37" t="s">
        <v>48</v>
      </c>
      <c r="C50" s="38" t="s">
        <v>56</v>
      </c>
      <c r="D50" s="39"/>
      <c r="E50" s="39"/>
      <c r="F50" s="39"/>
      <c r="G50" s="40">
        <f>75600/1000/1.2/12.54</f>
        <v>5.0239234449760772</v>
      </c>
      <c r="H50" s="40">
        <f t="shared" si="7"/>
        <v>5.0239234449760772</v>
      </c>
    </row>
    <row r="51" spans="1:8" ht="38.25" x14ac:dyDescent="0.2">
      <c r="A51" s="36">
        <v>17</v>
      </c>
      <c r="B51" s="37" t="s">
        <v>48</v>
      </c>
      <c r="C51" s="38" t="s">
        <v>60</v>
      </c>
      <c r="D51" s="39"/>
      <c r="E51" s="39"/>
      <c r="F51" s="39"/>
      <c r="G51" s="40">
        <f>25200/1000/1.2/12.54</f>
        <v>1.6746411483253589</v>
      </c>
      <c r="H51" s="40">
        <f t="shared" si="7"/>
        <v>1.6746411483253589</v>
      </c>
    </row>
    <row r="52" spans="1:8" ht="38.25" x14ac:dyDescent="0.2">
      <c r="A52" s="36">
        <v>18</v>
      </c>
      <c r="B52" s="37" t="s">
        <v>48</v>
      </c>
      <c r="C52" s="38" t="s">
        <v>64</v>
      </c>
      <c r="D52" s="39"/>
      <c r="E52" s="39"/>
      <c r="F52" s="39"/>
      <c r="G52" s="40">
        <f>25200/1000/1.2/12.54</f>
        <v>1.6746411483253589</v>
      </c>
      <c r="H52" s="40">
        <f t="shared" si="7"/>
        <v>1.6746411483253589</v>
      </c>
    </row>
    <row r="53" spans="1:8" ht="38.25" x14ac:dyDescent="0.2">
      <c r="A53" s="36">
        <v>19</v>
      </c>
      <c r="B53" s="37" t="s">
        <v>48</v>
      </c>
      <c r="C53" s="38" t="s">
        <v>69</v>
      </c>
      <c r="D53" s="39"/>
      <c r="E53" s="39"/>
      <c r="F53" s="39"/>
      <c r="G53" s="40">
        <f>25200/1000/1.2/12.54</f>
        <v>1.6746411483253589</v>
      </c>
      <c r="H53" s="40">
        <f t="shared" si="7"/>
        <v>1.6746411483253589</v>
      </c>
    </row>
    <row r="54" spans="1:8" ht="51" x14ac:dyDescent="0.2">
      <c r="A54" s="36">
        <v>20</v>
      </c>
      <c r="B54" s="37" t="s">
        <v>48</v>
      </c>
      <c r="C54" s="38" t="s">
        <v>74</v>
      </c>
      <c r="D54" s="39"/>
      <c r="E54" s="39"/>
      <c r="F54" s="39"/>
      <c r="G54" s="40">
        <f>26966.4/1000/1.2/12.54</f>
        <v>1.7920255183413081</v>
      </c>
      <c r="H54" s="40">
        <f t="shared" si="7"/>
        <v>1.7920255183413081</v>
      </c>
    </row>
    <row r="55" spans="1:8" ht="51" x14ac:dyDescent="0.2">
      <c r="A55" s="36">
        <v>21</v>
      </c>
      <c r="B55" s="37" t="s">
        <v>48</v>
      </c>
      <c r="C55" s="38" t="s">
        <v>75</v>
      </c>
      <c r="D55" s="39"/>
      <c r="E55" s="39"/>
      <c r="F55" s="39"/>
      <c r="G55" s="40">
        <f>107100/1000/1.2/12.54</f>
        <v>7.1172248803827758</v>
      </c>
      <c r="H55" s="40">
        <f t="shared" si="7"/>
        <v>7.1172248803827758</v>
      </c>
    </row>
    <row r="56" spans="1:8" ht="38.25" x14ac:dyDescent="0.2">
      <c r="A56" s="36">
        <v>22</v>
      </c>
      <c r="B56" s="38" t="s">
        <v>49</v>
      </c>
      <c r="C56" s="38" t="s">
        <v>51</v>
      </c>
      <c r="D56" s="39"/>
      <c r="E56" s="39"/>
      <c r="F56" s="39"/>
      <c r="G56" s="40">
        <f>(D44+E44+F44+G44+H46+H50+H55+H65+H61+H60+H47+H48+H49+H51+H52+H53+H54+H66+H67+H68+H69)/100*6.7</f>
        <v>348.38119777180981</v>
      </c>
      <c r="H56" s="40">
        <f>G56+F56+E56+D56</f>
        <v>348.38119777180981</v>
      </c>
    </row>
    <row r="57" spans="1:8" ht="12.75" customHeight="1" x14ac:dyDescent="0.2">
      <c r="A57" s="41"/>
      <c r="B57" s="46" t="s">
        <v>33</v>
      </c>
      <c r="C57" s="47"/>
      <c r="D57" s="39">
        <f>D55+D46+D50+D56+D47+D48+D49+D51+D52+D53+D54</f>
        <v>0</v>
      </c>
      <c r="E57" s="39">
        <f t="shared" ref="E57:G57" si="8">E55+E46+E50+E56+E47+E48+E49+E51+E52+E53+E54</f>
        <v>0</v>
      </c>
      <c r="F57" s="39">
        <f t="shared" si="8"/>
        <v>0</v>
      </c>
      <c r="G57" s="39">
        <f t="shared" si="8"/>
        <v>485.34328812567327</v>
      </c>
      <c r="H57" s="40">
        <f>D57+E57+F57+G57</f>
        <v>485.34328812567327</v>
      </c>
    </row>
    <row r="58" spans="1:8" ht="12.75" customHeight="1" x14ac:dyDescent="0.2">
      <c r="A58" s="41"/>
      <c r="B58" s="46" t="s">
        <v>17</v>
      </c>
      <c r="C58" s="47"/>
      <c r="D58" s="40">
        <f>D57+D44</f>
        <v>2249.5693362819916</v>
      </c>
      <c r="E58" s="40">
        <f>E57+E44</f>
        <v>232.06343735552474</v>
      </c>
      <c r="F58" s="40">
        <f>F57+F44</f>
        <v>1611.0347551342813</v>
      </c>
      <c r="G58" s="40">
        <f>G57+G44</f>
        <v>487.67803759404114</v>
      </c>
      <c r="H58" s="40">
        <f>H57+H44</f>
        <v>4580.3455663658387</v>
      </c>
    </row>
    <row r="59" spans="1:8" ht="12.75" customHeight="1" x14ac:dyDescent="0.2">
      <c r="A59" s="48" t="s">
        <v>27</v>
      </c>
      <c r="B59" s="49"/>
      <c r="C59" s="49"/>
      <c r="D59" s="49"/>
      <c r="E59" s="49"/>
      <c r="F59" s="49"/>
      <c r="G59" s="49"/>
      <c r="H59" s="49"/>
    </row>
    <row r="60" spans="1:8" ht="38.25" x14ac:dyDescent="0.2">
      <c r="A60" s="36">
        <v>23</v>
      </c>
      <c r="B60" s="38" t="s">
        <v>50</v>
      </c>
      <c r="C60" s="38" t="s">
        <v>25</v>
      </c>
      <c r="D60" s="39"/>
      <c r="E60" s="39"/>
      <c r="F60" s="39"/>
      <c r="G60" s="40">
        <f>(D44+E44+F44+G44+H46+H50+H55+H47+H48+H49+H51+H52+H53+H54)/100*2.14</f>
        <v>90.564037487912259</v>
      </c>
      <c r="H60" s="40">
        <f>D60+E60+F60+G60</f>
        <v>90.564037487912259</v>
      </c>
    </row>
    <row r="61" spans="1:8" ht="25.5" x14ac:dyDescent="0.2">
      <c r="A61" s="36">
        <v>24</v>
      </c>
      <c r="B61" s="38" t="s">
        <v>52</v>
      </c>
      <c r="C61" s="45" t="s">
        <v>26</v>
      </c>
      <c r="D61" s="39"/>
      <c r="E61" s="39"/>
      <c r="F61" s="39"/>
      <c r="G61" s="40">
        <f>(D44+E44+F44+G44+H46+H50+H55+H65+H47+H48+H49+H51+H52+H53+H54+H66+H67+H68+H69)/100*11.7</f>
        <v>535.15772056593494</v>
      </c>
      <c r="H61" s="40">
        <f>D61+E61+F61+G61</f>
        <v>535.15772056593494</v>
      </c>
    </row>
    <row r="62" spans="1:8" ht="12.75" customHeight="1" x14ac:dyDescent="0.2">
      <c r="A62" s="58" t="s">
        <v>30</v>
      </c>
      <c r="B62" s="59"/>
      <c r="C62" s="60"/>
      <c r="D62" s="39">
        <f>D60+D61</f>
        <v>0</v>
      </c>
      <c r="E62" s="39">
        <f t="shared" ref="E62:F62" si="9">E60+E61</f>
        <v>0</v>
      </c>
      <c r="F62" s="39">
        <f t="shared" si="9"/>
        <v>0</v>
      </c>
      <c r="G62" s="39">
        <f>G60+G61</f>
        <v>625.72175805384722</v>
      </c>
      <c r="H62" s="40">
        <f>D62+E62+F62+G62</f>
        <v>625.72175805384722</v>
      </c>
    </row>
    <row r="63" spans="1:8" ht="12.75" customHeight="1" x14ac:dyDescent="0.2">
      <c r="A63" s="41"/>
      <c r="B63" s="46" t="s">
        <v>28</v>
      </c>
      <c r="C63" s="47"/>
      <c r="D63" s="40">
        <f>D58+D62</f>
        <v>2249.5693362819916</v>
      </c>
      <c r="E63" s="40">
        <f t="shared" ref="E63:G63" si="10">E58+E62</f>
        <v>232.06343735552474</v>
      </c>
      <c r="F63" s="40">
        <f t="shared" si="10"/>
        <v>1611.0347551342813</v>
      </c>
      <c r="G63" s="40">
        <f t="shared" si="10"/>
        <v>1113.3997956478884</v>
      </c>
      <c r="H63" s="40">
        <f>H62+H58</f>
        <v>5206.067324419686</v>
      </c>
    </row>
    <row r="64" spans="1:8" ht="12.75" customHeight="1" x14ac:dyDescent="0.2">
      <c r="A64" s="48" t="s">
        <v>18</v>
      </c>
      <c r="B64" s="49"/>
      <c r="C64" s="49"/>
      <c r="D64" s="49"/>
      <c r="E64" s="49"/>
      <c r="F64" s="49"/>
      <c r="G64" s="49"/>
      <c r="H64" s="49"/>
    </row>
    <row r="65" spans="1:8" ht="38.25" x14ac:dyDescent="0.2">
      <c r="A65" s="36">
        <v>25</v>
      </c>
      <c r="B65" s="37" t="s">
        <v>15</v>
      </c>
      <c r="C65" s="38" t="s">
        <v>57</v>
      </c>
      <c r="D65" s="39"/>
      <c r="E65" s="39"/>
      <c r="F65" s="39"/>
      <c r="G65" s="40">
        <f>1038930.74/1000/1.2/5.54</f>
        <v>156.27718712394704</v>
      </c>
      <c r="H65" s="40">
        <f>G65+F65+E65+D65</f>
        <v>156.27718712394704</v>
      </c>
    </row>
    <row r="66" spans="1:8" ht="38.25" x14ac:dyDescent="0.2">
      <c r="A66" s="36">
        <v>26</v>
      </c>
      <c r="B66" s="37" t="s">
        <v>15</v>
      </c>
      <c r="C66" s="38" t="s">
        <v>59</v>
      </c>
      <c r="D66" s="39"/>
      <c r="E66" s="39"/>
      <c r="F66" s="39"/>
      <c r="G66" s="40">
        <f>452862.62/1000/1.2/5.54</f>
        <v>68.1201293622142</v>
      </c>
      <c r="H66" s="40">
        <f t="shared" ref="H66:H69" si="11">G66+F66+E66+D66</f>
        <v>68.1201293622142</v>
      </c>
    </row>
    <row r="67" spans="1:8" ht="38.25" x14ac:dyDescent="0.2">
      <c r="A67" s="36">
        <v>27</v>
      </c>
      <c r="B67" s="37" t="s">
        <v>15</v>
      </c>
      <c r="C67" s="38" t="s">
        <v>65</v>
      </c>
      <c r="D67" s="39"/>
      <c r="E67" s="39"/>
      <c r="F67" s="39"/>
      <c r="G67" s="40">
        <f>269309.4/1000/1.2/5.54</f>
        <v>40.509837545126366</v>
      </c>
      <c r="H67" s="40">
        <f t="shared" si="11"/>
        <v>40.509837545126366</v>
      </c>
    </row>
    <row r="68" spans="1:8" ht="38.25" x14ac:dyDescent="0.2">
      <c r="A68" s="36">
        <v>28</v>
      </c>
      <c r="B68" s="37" t="s">
        <v>15</v>
      </c>
      <c r="C68" s="38" t="s">
        <v>70</v>
      </c>
      <c r="D68" s="39"/>
      <c r="E68" s="39"/>
      <c r="F68" s="39"/>
      <c r="G68" s="40">
        <f>183219.64/1000/1.2/5.54</f>
        <v>27.560114320096272</v>
      </c>
      <c r="H68" s="40">
        <f t="shared" si="11"/>
        <v>27.560114320096272</v>
      </c>
    </row>
    <row r="69" spans="1:8" ht="51" x14ac:dyDescent="0.2">
      <c r="A69" s="36">
        <v>29</v>
      </c>
      <c r="B69" s="37" t="s">
        <v>15</v>
      </c>
      <c r="C69" s="38" t="s">
        <v>76</v>
      </c>
      <c r="D69" s="39"/>
      <c r="E69" s="39"/>
      <c r="F69" s="39"/>
      <c r="G69" s="40">
        <f>329514.6/1000/1.2/5.54</f>
        <v>49.56597472924188</v>
      </c>
      <c r="H69" s="40">
        <f t="shared" si="11"/>
        <v>49.56597472924188</v>
      </c>
    </row>
    <row r="70" spans="1:8" x14ac:dyDescent="0.2">
      <c r="A70" s="41"/>
      <c r="B70" s="46" t="s">
        <v>19</v>
      </c>
      <c r="C70" s="47"/>
      <c r="D70" s="40">
        <f>D65+D66+D67+D68+D69</f>
        <v>0</v>
      </c>
      <c r="E70" s="40">
        <f t="shared" ref="E70:G70" si="12">E65+E66+E67+E68+E69</f>
        <v>0</v>
      </c>
      <c r="F70" s="40">
        <f t="shared" si="12"/>
        <v>0</v>
      </c>
      <c r="G70" s="40">
        <f t="shared" si="12"/>
        <v>342.03324308062571</v>
      </c>
      <c r="H70" s="40">
        <f>G70+F70+E70+D70</f>
        <v>342.03324308062571</v>
      </c>
    </row>
    <row r="71" spans="1:8" x14ac:dyDescent="0.2">
      <c r="A71" s="41"/>
      <c r="B71" s="46" t="s">
        <v>20</v>
      </c>
      <c r="C71" s="47"/>
      <c r="D71" s="40">
        <f>D63+D70</f>
        <v>2249.5693362819916</v>
      </c>
      <c r="E71" s="40">
        <f>E63+E70</f>
        <v>232.06343735552474</v>
      </c>
      <c r="F71" s="40">
        <f>F63+F70</f>
        <v>1611.0347551342813</v>
      </c>
      <c r="G71" s="40">
        <f>G63+G70</f>
        <v>1455.433038728514</v>
      </c>
      <c r="H71" s="40">
        <f>D71+E71+F71+G71</f>
        <v>5548.1005675003125</v>
      </c>
    </row>
    <row r="72" spans="1:8" x14ac:dyDescent="0.2">
      <c r="A72" s="48" t="s">
        <v>21</v>
      </c>
      <c r="B72" s="49"/>
      <c r="C72" s="49"/>
      <c r="D72" s="49"/>
      <c r="E72" s="49"/>
      <c r="F72" s="49"/>
      <c r="G72" s="49"/>
      <c r="H72" s="49"/>
    </row>
    <row r="73" spans="1:8" x14ac:dyDescent="0.2">
      <c r="A73" s="36">
        <v>30</v>
      </c>
      <c r="B73" s="37"/>
      <c r="C73" s="38" t="s">
        <v>22</v>
      </c>
      <c r="D73" s="40">
        <f>D71/100*20</f>
        <v>449.91386725639836</v>
      </c>
      <c r="E73" s="40">
        <f>E71/100*20</f>
        <v>46.412687471104945</v>
      </c>
      <c r="F73" s="40">
        <f>F71/100*20</f>
        <v>322.20695102685625</v>
      </c>
      <c r="G73" s="40">
        <f>G71/100*20</f>
        <v>291.08660774570285</v>
      </c>
      <c r="H73" s="40">
        <f>H71/100*20</f>
        <v>1109.6201135000624</v>
      </c>
    </row>
    <row r="74" spans="1:8" x14ac:dyDescent="0.2">
      <c r="A74" s="41"/>
      <c r="B74" s="46" t="s">
        <v>23</v>
      </c>
      <c r="C74" s="47"/>
      <c r="D74" s="40">
        <f>D73</f>
        <v>449.91386725639836</v>
      </c>
      <c r="E74" s="40">
        <f>E73</f>
        <v>46.412687471104945</v>
      </c>
      <c r="F74" s="39">
        <f>F73</f>
        <v>322.20695102685625</v>
      </c>
      <c r="G74" s="40">
        <f>G73</f>
        <v>291.08660774570285</v>
      </c>
      <c r="H74" s="40">
        <f>D74+E74+F74+G74</f>
        <v>1109.6201135000624</v>
      </c>
    </row>
    <row r="75" spans="1:8" x14ac:dyDescent="0.2">
      <c r="A75" s="41"/>
      <c r="B75" s="46" t="s">
        <v>24</v>
      </c>
      <c r="C75" s="47"/>
      <c r="D75" s="40">
        <f>D71+D73</f>
        <v>2699.4832035383897</v>
      </c>
      <c r="E75" s="40">
        <f>E71+E73</f>
        <v>278.4761248266297</v>
      </c>
      <c r="F75" s="40">
        <f>F71+F73</f>
        <v>1933.2417061611377</v>
      </c>
      <c r="G75" s="40">
        <f>G71+G73</f>
        <v>1746.5196464742169</v>
      </c>
      <c r="H75" s="40">
        <f>H71+H73</f>
        <v>6657.7206810003754</v>
      </c>
    </row>
  </sheetData>
  <mergeCells count="37">
    <mergeCell ref="B63:C63"/>
    <mergeCell ref="A62:C62"/>
    <mergeCell ref="A64:H64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D19:D21"/>
    <mergeCell ref="E19:E21"/>
    <mergeCell ref="B58:C58"/>
    <mergeCell ref="A59:H59"/>
    <mergeCell ref="B35:C35"/>
    <mergeCell ref="B39:C39"/>
    <mergeCell ref="F19:F21"/>
    <mergeCell ref="G19:G21"/>
    <mergeCell ref="A23:H23"/>
    <mergeCell ref="H18:H21"/>
    <mergeCell ref="A41:H41"/>
    <mergeCell ref="B44:C44"/>
    <mergeCell ref="A45:H45"/>
    <mergeCell ref="B27:C27"/>
    <mergeCell ref="A28:H28"/>
    <mergeCell ref="B34:C34"/>
    <mergeCell ref="A36:H36"/>
    <mergeCell ref="B57:C57"/>
    <mergeCell ref="B40:C40"/>
    <mergeCell ref="B43:C43"/>
    <mergeCell ref="B70:C70"/>
    <mergeCell ref="B71:C71"/>
    <mergeCell ref="A72:H72"/>
    <mergeCell ref="B74:C74"/>
    <mergeCell ref="B75:C75"/>
  </mergeCells>
  <pageMargins left="0.23622047244094491" right="0.23622047244094491" top="0.74803149606299213" bottom="0.74803149606299213" header="0.31496062992125984" footer="0.31496062992125984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Цыбенов Баир Борисович</cp:lastModifiedBy>
  <cp:lastPrinted>2023-02-17T08:26:29Z</cp:lastPrinted>
  <dcterms:created xsi:type="dcterms:W3CDTF">2022-07-06T13:17:17Z</dcterms:created>
  <dcterms:modified xsi:type="dcterms:W3CDTF">2023-12-11T11:23:21Z</dcterms:modified>
</cp:coreProperties>
</file>