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М_22-1-20-01-08-00-0-0004\"/>
    </mc:Choice>
  </mc:AlternateContent>
  <xr:revisionPtr revIDLastSave="0" documentId="13_ncr:1_{ACDD5E25-CFBB-43EB-B581-C9E0BC7FC134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тек.ц.!$A$1:$H$83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6" i="2"/>
  <c r="G58" i="1" l="1"/>
  <c r="G53" i="2"/>
  <c r="H53" i="1" l="1"/>
  <c r="G58" i="2" l="1"/>
  <c r="G57" i="2"/>
  <c r="G64" i="2" l="1"/>
  <c r="G63" i="2"/>
  <c r="H63" i="2" s="1"/>
  <c r="G62" i="2"/>
  <c r="G52" i="2"/>
  <c r="H52" i="2" s="1"/>
  <c r="G50" i="2"/>
  <c r="G49" i="2"/>
  <c r="D35" i="2" s="1"/>
  <c r="G48" i="2"/>
  <c r="D40" i="2"/>
  <c r="D41" i="2" s="1"/>
  <c r="F34" i="2"/>
  <c r="E36" i="2"/>
  <c r="E35" i="2"/>
  <c r="E34" i="2"/>
  <c r="D34" i="2"/>
  <c r="G29" i="2"/>
  <c r="H29" i="2" s="1"/>
  <c r="G28" i="2"/>
  <c r="G27" i="2"/>
  <c r="H27" i="2" s="1"/>
  <c r="G25" i="2"/>
  <c r="H25" i="2" s="1"/>
  <c r="G24" i="2"/>
  <c r="H24" i="2" s="1"/>
  <c r="F65" i="2"/>
  <c r="E65" i="2"/>
  <c r="D65" i="2"/>
  <c r="H64" i="2"/>
  <c r="H62" i="2"/>
  <c r="F59" i="2"/>
  <c r="E59" i="2"/>
  <c r="D59" i="2"/>
  <c r="H58" i="2"/>
  <c r="H57" i="2"/>
  <c r="H53" i="2" s="1"/>
  <c r="F54" i="2"/>
  <c r="E54" i="2"/>
  <c r="D54" i="2"/>
  <c r="H51" i="2"/>
  <c r="H50" i="2"/>
  <c r="H48" i="2"/>
  <c r="H45" i="2"/>
  <c r="G45" i="2"/>
  <c r="F45" i="2"/>
  <c r="E45" i="2"/>
  <c r="D45" i="2"/>
  <c r="H44" i="2"/>
  <c r="G41" i="2"/>
  <c r="F41" i="2"/>
  <c r="E41" i="2"/>
  <c r="G37" i="2"/>
  <c r="F37" i="2"/>
  <c r="F38" i="2" s="1"/>
  <c r="F42" i="2" s="1"/>
  <c r="F46" i="2" s="1"/>
  <c r="F55" i="2" s="1"/>
  <c r="F60" i="2" s="1"/>
  <c r="F66" i="2" s="1"/>
  <c r="F32" i="2"/>
  <c r="E32" i="2"/>
  <c r="D32" i="2"/>
  <c r="H31" i="2"/>
  <c r="H30" i="2"/>
  <c r="H26" i="2"/>
  <c r="D54" i="1"/>
  <c r="G32" i="1"/>
  <c r="F37" i="1"/>
  <c r="D37" i="1"/>
  <c r="D41" i="1"/>
  <c r="G57" i="1"/>
  <c r="G53" i="1"/>
  <c r="D36" i="1"/>
  <c r="E35" i="1"/>
  <c r="E36" i="1"/>
  <c r="D34" i="1"/>
  <c r="D35" i="1"/>
  <c r="D40" i="1"/>
  <c r="G50" i="1"/>
  <c r="G49" i="1"/>
  <c r="H49" i="1" s="1"/>
  <c r="G48" i="1"/>
  <c r="H48" i="1" s="1"/>
  <c r="E34" i="1"/>
  <c r="F34" i="1"/>
  <c r="G29" i="1"/>
  <c r="G64" i="1"/>
  <c r="G63" i="1"/>
  <c r="H63" i="1" s="1"/>
  <c r="G62" i="1"/>
  <c r="H62" i="1" s="1"/>
  <c r="G25" i="1"/>
  <c r="G28" i="1"/>
  <c r="G24" i="1"/>
  <c r="G52" i="1"/>
  <c r="E65" i="1"/>
  <c r="F65" i="1"/>
  <c r="D65" i="1"/>
  <c r="E54" i="1"/>
  <c r="F54" i="1"/>
  <c r="G37" i="1"/>
  <c r="H40" i="2" l="1"/>
  <c r="H41" i="2" s="1"/>
  <c r="D36" i="2"/>
  <c r="D37" i="2" s="1"/>
  <c r="D38" i="2" s="1"/>
  <c r="D42" i="2" s="1"/>
  <c r="D46" i="2" s="1"/>
  <c r="D55" i="2" s="1"/>
  <c r="D60" i="2" s="1"/>
  <c r="D66" i="2" s="1"/>
  <c r="H34" i="2"/>
  <c r="E37" i="2"/>
  <c r="E38" i="2" s="1"/>
  <c r="E42" i="2" s="1"/>
  <c r="E46" i="2" s="1"/>
  <c r="E55" i="2" s="1"/>
  <c r="E60" i="2" s="1"/>
  <c r="E66" i="2" s="1"/>
  <c r="H35" i="2"/>
  <c r="G32" i="2"/>
  <c r="G38" i="2" s="1"/>
  <c r="G42" i="2" s="1"/>
  <c r="G46" i="2" s="1"/>
  <c r="F68" i="2"/>
  <c r="F69" i="2" s="1"/>
  <c r="H36" i="2"/>
  <c r="G59" i="2"/>
  <c r="H59" i="2" s="1"/>
  <c r="G65" i="2"/>
  <c r="H65" i="2" s="1"/>
  <c r="H28" i="2"/>
  <c r="H32" i="2" s="1"/>
  <c r="H49" i="2"/>
  <c r="G54" i="2"/>
  <c r="E37" i="1"/>
  <c r="H35" i="1"/>
  <c r="H34" i="1"/>
  <c r="G65" i="1"/>
  <c r="H65" i="1" s="1"/>
  <c r="H37" i="2" l="1"/>
  <c r="H38" i="2" s="1"/>
  <c r="H42" i="2" s="1"/>
  <c r="H46" i="2" s="1"/>
  <c r="D68" i="2"/>
  <c r="D69" i="2" s="1"/>
  <c r="E68" i="2"/>
  <c r="E69" i="2" s="1"/>
  <c r="G55" i="2"/>
  <c r="G60" i="2" s="1"/>
  <c r="G66" i="2" s="1"/>
  <c r="H54" i="2"/>
  <c r="F70" i="2"/>
  <c r="D59" i="1"/>
  <c r="D45" i="1"/>
  <c r="D32" i="1"/>
  <c r="H52" i="1"/>
  <c r="H55" i="2" l="1"/>
  <c r="H60" i="2" s="1"/>
  <c r="G68" i="2"/>
  <c r="G69" i="2" s="1"/>
  <c r="H69" i="2" s="1"/>
  <c r="E70" i="2"/>
  <c r="D70" i="2"/>
  <c r="H66" i="2"/>
  <c r="H30" i="1"/>
  <c r="E32" i="1"/>
  <c r="F32" i="1"/>
  <c r="G70" i="2" l="1"/>
  <c r="H68" i="2"/>
  <c r="H70" i="2" s="1"/>
  <c r="H26" i="1"/>
  <c r="H27" i="1" l="1"/>
  <c r="H29" i="1"/>
  <c r="H24" i="1"/>
  <c r="G45" i="1"/>
  <c r="F45" i="1"/>
  <c r="E45" i="1"/>
  <c r="H44" i="1"/>
  <c r="G41" i="1"/>
  <c r="F41" i="1"/>
  <c r="E41" i="1"/>
  <c r="H40" i="1"/>
  <c r="H41" i="1" s="1"/>
  <c r="H31" i="1"/>
  <c r="H45" i="1" l="1"/>
  <c r="H50" i="1"/>
  <c r="H28" i="1"/>
  <c r="E59" i="1" l="1"/>
  <c r="F59" i="1"/>
  <c r="H25" i="1" l="1"/>
  <c r="H32" i="1" s="1"/>
  <c r="H51" i="1"/>
  <c r="H64" i="1"/>
  <c r="D38" i="1"/>
  <c r="D42" i="1" l="1"/>
  <c r="F38" i="1"/>
  <c r="F42" i="1" s="1"/>
  <c r="F46" i="1" s="1"/>
  <c r="F55" i="1" s="1"/>
  <c r="D46" i="1" l="1"/>
  <c r="G38" i="1"/>
  <c r="G42" i="1" s="1"/>
  <c r="G46" i="1" s="1"/>
  <c r="F60" i="1"/>
  <c r="D55" i="1" l="1"/>
  <c r="D60" i="1" s="1"/>
  <c r="D66" i="1" s="1"/>
  <c r="D68" i="1" s="1"/>
  <c r="F66" i="1"/>
  <c r="F68" i="1" s="1"/>
  <c r="H36" i="1"/>
  <c r="H37" i="1" s="1"/>
  <c r="H38" i="1" l="1"/>
  <c r="H42" i="1" s="1"/>
  <c r="H46" i="1" s="1"/>
  <c r="F70" i="1"/>
  <c r="F69" i="1"/>
  <c r="E38" i="1" l="1"/>
  <c r="E42" i="1" s="1"/>
  <c r="E46" i="1" s="1"/>
  <c r="D69" i="1"/>
  <c r="H58" i="1" l="1"/>
  <c r="E55" i="1"/>
  <c r="E60" i="1" s="1"/>
  <c r="E66" i="1" s="1"/>
  <c r="D70" i="1"/>
  <c r="G59" i="1" l="1"/>
  <c r="H59" i="1" s="1"/>
  <c r="H57" i="1"/>
  <c r="G54" i="1" s="1"/>
  <c r="H54" i="1" s="1"/>
  <c r="E68" i="1"/>
  <c r="H55" i="1" l="1"/>
  <c r="H60" i="1" s="1"/>
  <c r="G55" i="1"/>
  <c r="G60" i="1" s="1"/>
  <c r="E69" i="1"/>
  <c r="E70" i="1"/>
  <c r="G66" i="1" l="1"/>
  <c r="G68" i="1" s="1"/>
  <c r="G69" i="1" s="1"/>
  <c r="H69" i="1" s="1"/>
  <c r="H66" i="1" l="1"/>
  <c r="H68" i="1" s="1"/>
  <c r="H70" i="1" s="1"/>
  <c r="G70" i="1"/>
</calcChain>
</file>

<file path=xl/sharedStrings.xml><?xml version="1.0" encoding="utf-8"?>
<sst xmlns="http://schemas.openxmlformats.org/spreadsheetml/2006/main" count="192" uniqueCount="76">
  <si>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</si>
  <si>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</si>
  <si>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</si>
  <si>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</si>
  <si>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</si>
  <si>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</si>
  <si>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</si>
  <si>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</si>
  <si>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</si>
  <si>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</si>
  <si>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</si>
  <si>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</si>
  <si>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</si>
  <si>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</si>
  <si>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</si>
  <si>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</si>
  <si>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</si>
  <si>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</si>
  <si>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</si>
  <si>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</si>
  <si>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</si>
  <si>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</si>
  <si>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</si>
  <si>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</si>
  <si>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</si>
  <si>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</si>
  <si>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</si>
  <si>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</si>
  <si>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</si>
  <si>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</si>
  <si>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</si>
  <si>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</si>
  <si>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</si>
  <si>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</si>
  <si>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</si>
  <si>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</si>
  <si>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</si>
  <si>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</si>
  <si>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Контрольно-исполнительная съемка</t>
  </si>
  <si>
    <t>Топографическая съемка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</si>
  <si>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</si>
  <si>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</si>
  <si>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</si>
  <si>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</si>
  <si>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</si>
  <si>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</si>
  <si>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</si>
  <si>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</si>
  <si>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</si>
  <si>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</si>
  <si>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</si>
  <si>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</si>
  <si>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</si>
  <si>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</si>
  <si>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</si>
  <si>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</si>
  <si>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</si>
  <si>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</si>
  <si>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</si>
  <si>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</si>
  <si>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</si>
  <si>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</si>
  <si>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</si>
  <si>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</si>
  <si>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Строительство 2БКТП-10/0,4 кВ мощностью 0,8 МВА, КЛ-10/0,4 кВ протяженностью 0,38 км, КЛ-0,4 протяженностью 0,1 км для технологического присоединения заявителя в соответствии с договором №20-002/005-ПС-21 в г.Тихвин ЛО
(M_22-1-20-01-08-00-0-0004)</t>
  </si>
  <si>
    <t>Стр-во 2БКТП-10/0,4 кВ в районе 1а микрорайона в г. Тихвин ЛО</t>
  </si>
  <si>
    <t>Стр-во 2КЛ-0,4 кВ от проектируемой 2БКТП-10/0,4 кВ до ВРУ-0,4 кВ объекта заявителя в районе 1а микрорайона в г. Тихвин ЛО</t>
  </si>
  <si>
    <t>Стр-во 2КЛ-10 кВ от ТП-104 до проектируемой 2БКТП-10/0,4 кВ в районе 1а микрорайона г. Тихвин ЛО</t>
  </si>
  <si>
    <t>Пусконаладочные работы 2КЛ-0,4</t>
  </si>
  <si>
    <t>Пусконаладочные работы 2БКТП</t>
  </si>
  <si>
    <t>Пусконаладочные работы 2КЛ-10</t>
  </si>
  <si>
    <t>Проектные работы 2БКТП</t>
  </si>
  <si>
    <t>Проектные работы 2КЛ-0,4</t>
  </si>
  <si>
    <t>Проектные работы 2КЛ-10</t>
  </si>
  <si>
    <t>Схема границ 2КЛ-10</t>
  </si>
  <si>
    <t>Землеустроительные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</si>
</sst>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/>
    </xf>
    <xf numFmtId="49" fontId="1" fillId="0" borderId="3" xfId="0" quotePrefix="1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0" xfId="0" applyFont="1" applyFill="1" applyAlignment="1">
      <alignment vertical="top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3"/>
  <sheetViews>
    <sheetView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2" t="s">
        <v>2</v>
      </c>
      <c r="D2" s="42"/>
      <c r="E2" s="42"/>
      <c r="F2" s="42"/>
      <c r="G2" s="4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9" t="s">
        <v>53</v>
      </c>
      <c r="C6" s="49"/>
      <c r="D6" s="24">
        <f>H70</f>
        <v>24298.839085999996</v>
      </c>
      <c r="E6" s="2" t="s">
        <v>30</v>
      </c>
      <c r="F6" s="2"/>
      <c r="G6" s="2"/>
      <c r="H6" s="2"/>
    </row>
    <row r="7" spans="2:8" x14ac:dyDescent="0.2">
      <c r="B7" s="50" t="s">
        <v>4</v>
      </c>
      <c r="C7" s="50"/>
      <c r="D7" s="2"/>
      <c r="E7" s="2" t="s">
        <v>30</v>
      </c>
      <c r="F7" s="2"/>
      <c r="G7" s="2"/>
      <c r="H7" s="2"/>
    </row>
    <row r="8" spans="2:8" x14ac:dyDescent="0.2">
      <c r="C8" s="43"/>
      <c r="D8" s="44"/>
      <c r="E8" s="44"/>
      <c r="F8" s="44"/>
      <c r="G8" s="44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40.5" customHeight="1" x14ac:dyDescent="0.2">
      <c r="C14" s="45" t="s">
        <v>64</v>
      </c>
      <c r="D14" s="42"/>
      <c r="E14" s="42"/>
      <c r="F14" s="42"/>
      <c r="G14" s="42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63</v>
      </c>
      <c r="D17" s="13"/>
      <c r="E17" s="2"/>
      <c r="F17" s="2"/>
      <c r="G17" s="2"/>
      <c r="H17" s="2"/>
    </row>
    <row r="18" spans="1:8" ht="12.75" customHeight="1" x14ac:dyDescent="0.2">
      <c r="A18" s="46" t="s">
        <v>8</v>
      </c>
      <c r="B18" s="47" t="s">
        <v>49</v>
      </c>
      <c r="C18" s="47" t="s">
        <v>9</v>
      </c>
      <c r="D18" s="48" t="s">
        <v>10</v>
      </c>
      <c r="E18" s="48"/>
      <c r="F18" s="48"/>
      <c r="G18" s="48"/>
      <c r="H18" s="46" t="s">
        <v>50</v>
      </c>
    </row>
    <row r="19" spans="1:8" x14ac:dyDescent="0.2">
      <c r="A19" s="46"/>
      <c r="B19" s="47"/>
      <c r="C19" s="47"/>
      <c r="D19" s="46" t="s">
        <v>11</v>
      </c>
      <c r="E19" s="46" t="s">
        <v>12</v>
      </c>
      <c r="F19" s="46" t="s">
        <v>13</v>
      </c>
      <c r="G19" s="46" t="s">
        <v>37</v>
      </c>
      <c r="H19" s="46"/>
    </row>
    <row r="20" spans="1:8" x14ac:dyDescent="0.2">
      <c r="A20" s="46"/>
      <c r="B20" s="47"/>
      <c r="C20" s="47"/>
      <c r="D20" s="46"/>
      <c r="E20" s="46"/>
      <c r="F20" s="46"/>
      <c r="G20" s="46"/>
      <c r="H20" s="46"/>
    </row>
    <row r="21" spans="1:8" x14ac:dyDescent="0.2">
      <c r="A21" s="46"/>
      <c r="B21" s="47"/>
      <c r="C21" s="47"/>
      <c r="D21" s="46"/>
      <c r="E21" s="46"/>
      <c r="F21" s="46"/>
      <c r="G21" s="46"/>
      <c r="H21" s="46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51" t="s">
        <v>35</v>
      </c>
      <c r="B23" s="52"/>
      <c r="C23" s="52"/>
      <c r="D23" s="52"/>
      <c r="E23" s="52"/>
      <c r="F23" s="52"/>
      <c r="G23" s="52"/>
      <c r="H23" s="52"/>
    </row>
    <row r="24" spans="1:8" x14ac:dyDescent="0.2">
      <c r="A24" s="27">
        <v>1</v>
      </c>
      <c r="B24" s="28" t="s">
        <v>57</v>
      </c>
      <c r="C24" s="29" t="s">
        <v>19</v>
      </c>
      <c r="D24" s="30"/>
      <c r="E24" s="30"/>
      <c r="F24" s="30"/>
      <c r="G24" s="31">
        <f>(6633.34+6633.33+6633.33)/1000/1.2</f>
        <v>16.583333333333332</v>
      </c>
      <c r="H24" s="31">
        <f>G24+F24+E24+D24</f>
        <v>16.583333333333332</v>
      </c>
    </row>
    <row r="25" spans="1:8" x14ac:dyDescent="0.2">
      <c r="A25" s="27">
        <v>2</v>
      </c>
      <c r="B25" s="28" t="s">
        <v>57</v>
      </c>
      <c r="C25" s="29" t="s">
        <v>74</v>
      </c>
      <c r="D25" s="30"/>
      <c r="E25" s="30"/>
      <c r="F25" s="30"/>
      <c r="G25" s="31">
        <f>10200/1000/1.2</f>
        <v>8.5</v>
      </c>
      <c r="H25" s="31">
        <f t="shared" ref="H25:H30" si="0">G25+F25+E25+D25</f>
        <v>8.5</v>
      </c>
    </row>
    <row r="26" spans="1:8" x14ac:dyDescent="0.2">
      <c r="A26" s="27">
        <v>3</v>
      </c>
      <c r="B26" s="28" t="s">
        <v>57</v>
      </c>
      <c r="C26" s="29" t="s">
        <v>55</v>
      </c>
      <c r="D26" s="30"/>
      <c r="E26" s="30"/>
      <c r="F26" s="30"/>
      <c r="G26" s="31"/>
      <c r="H26" s="31">
        <f t="shared" si="0"/>
        <v>0</v>
      </c>
    </row>
    <row r="27" spans="1:8" x14ac:dyDescent="0.2">
      <c r="A27" s="27">
        <v>4</v>
      </c>
      <c r="B27" s="28" t="s">
        <v>57</v>
      </c>
      <c r="C27" s="29" t="s">
        <v>75</v>
      </c>
      <c r="D27" s="30"/>
      <c r="E27" s="30"/>
      <c r="F27" s="30"/>
      <c r="G27" s="31">
        <v>4.25</v>
      </c>
      <c r="H27" s="31">
        <f t="shared" si="0"/>
        <v>4.25</v>
      </c>
    </row>
    <row r="28" spans="1:8" x14ac:dyDescent="0.2">
      <c r="A28" s="27">
        <v>5</v>
      </c>
      <c r="B28" s="28" t="s">
        <v>57</v>
      </c>
      <c r="C28" s="29" t="s">
        <v>39</v>
      </c>
      <c r="D28" s="30"/>
      <c r="E28" s="30"/>
      <c r="F28" s="30"/>
      <c r="G28" s="31">
        <f>12920*3/1000/1.2</f>
        <v>32.299999999999997</v>
      </c>
      <c r="H28" s="31">
        <f>G28+F28+E28+D28</f>
        <v>32.299999999999997</v>
      </c>
    </row>
    <row r="29" spans="1:8" x14ac:dyDescent="0.2">
      <c r="A29" s="27">
        <v>6</v>
      </c>
      <c r="B29" s="28" t="s">
        <v>57</v>
      </c>
      <c r="C29" s="29" t="s">
        <v>48</v>
      </c>
      <c r="D29" s="30"/>
      <c r="E29" s="30"/>
      <c r="F29" s="30"/>
      <c r="G29" s="31">
        <f>(1764.24+1764.26+1764.22)/1000</f>
        <v>5.2927200000000001</v>
      </c>
      <c r="H29" s="31">
        <f t="shared" si="0"/>
        <v>5.2927200000000001</v>
      </c>
    </row>
    <row r="30" spans="1:8" x14ac:dyDescent="0.2">
      <c r="A30" s="27">
        <v>7</v>
      </c>
      <c r="B30" s="28" t="s">
        <v>15</v>
      </c>
      <c r="C30" s="29" t="s">
        <v>58</v>
      </c>
      <c r="D30" s="30"/>
      <c r="E30" s="30"/>
      <c r="F30" s="30"/>
      <c r="G30" s="31"/>
      <c r="H30" s="31">
        <f t="shared" si="0"/>
        <v>0</v>
      </c>
    </row>
    <row r="31" spans="1:8" x14ac:dyDescent="0.2">
      <c r="A31" s="27">
        <v>8</v>
      </c>
      <c r="B31" s="28" t="s">
        <v>15</v>
      </c>
      <c r="C31" s="29" t="s">
        <v>40</v>
      </c>
      <c r="D31" s="30"/>
      <c r="E31" s="30"/>
      <c r="F31" s="30"/>
      <c r="G31" s="31"/>
      <c r="H31" s="31">
        <f>G31+F31+E31+D31</f>
        <v>0</v>
      </c>
    </row>
    <row r="32" spans="1:8" x14ac:dyDescent="0.2">
      <c r="A32" s="32"/>
      <c r="B32" s="38" t="s">
        <v>36</v>
      </c>
      <c r="C32" s="39"/>
      <c r="D32" s="31">
        <f>D24+D31+D25+D27+D29+D26+D28+D30</f>
        <v>0</v>
      </c>
      <c r="E32" s="31">
        <f t="shared" ref="E32:F32" si="1">E24+E31+E25+E27+E29+E26+E28+E30</f>
        <v>0</v>
      </c>
      <c r="F32" s="31">
        <f t="shared" si="1"/>
        <v>0</v>
      </c>
      <c r="G32" s="31">
        <f>G24+G31+G25+G27+G29+G26+G28+G30</f>
        <v>66.926053333333329</v>
      </c>
      <c r="H32" s="31">
        <f>H24+H31+H25+H27+H29+H26+H28+H30</f>
        <v>66.926053333333329</v>
      </c>
    </row>
    <row r="33" spans="1:8" x14ac:dyDescent="0.2">
      <c r="A33" s="40" t="s">
        <v>14</v>
      </c>
      <c r="B33" s="41"/>
      <c r="C33" s="41"/>
      <c r="D33" s="41"/>
      <c r="E33" s="41"/>
      <c r="F33" s="41"/>
      <c r="G33" s="41"/>
      <c r="H33" s="41"/>
    </row>
    <row r="34" spans="1:8" ht="25.5" x14ac:dyDescent="0.2">
      <c r="A34" s="27">
        <v>9</v>
      </c>
      <c r="B34" s="29" t="s">
        <v>15</v>
      </c>
      <c r="C34" s="33" t="s">
        <v>65</v>
      </c>
      <c r="D34" s="26">
        <f>(4050317.23/1000/1.2*0.7-G48)</f>
        <v>1889.8991208333332</v>
      </c>
      <c r="E34" s="26">
        <f>(4050317.23/1000/1.2*0.3)</f>
        <v>1012.5793074999999</v>
      </c>
      <c r="F34" s="30">
        <f>10110833.33/1000</f>
        <v>10110.833329999999</v>
      </c>
      <c r="G34" s="30"/>
      <c r="H34" s="31">
        <f>D34+E34+G34+F34</f>
        <v>13013.311758333333</v>
      </c>
    </row>
    <row r="35" spans="1:8" ht="38.25" x14ac:dyDescent="0.2">
      <c r="A35" s="27">
        <v>10</v>
      </c>
      <c r="B35" s="29" t="s">
        <v>15</v>
      </c>
      <c r="C35" s="33" t="s">
        <v>66</v>
      </c>
      <c r="D35" s="26">
        <f>(838367.14/1000/1.2*0.7-G49)</f>
        <v>485.30405833333333</v>
      </c>
      <c r="E35" s="26">
        <f>(838367.14/1000/1.2*0.3)</f>
        <v>209.59178500000002</v>
      </c>
      <c r="F35" s="30"/>
      <c r="G35" s="30"/>
      <c r="H35" s="31">
        <f>D35+E35+G35+F35</f>
        <v>694.89584333333335</v>
      </c>
    </row>
    <row r="36" spans="1:8" ht="25.5" x14ac:dyDescent="0.2">
      <c r="A36" s="27">
        <v>11</v>
      </c>
      <c r="B36" s="29" t="s">
        <v>15</v>
      </c>
      <c r="C36" s="33" t="s">
        <v>67</v>
      </c>
      <c r="D36" s="26">
        <f>((2136805.3+493269.86)/1000/1.2*0.7-G50-D40)</f>
        <v>1254.0815399999999</v>
      </c>
      <c r="E36" s="26">
        <f>((2136805.3+493269.86)/1000/1.2*0.3)</f>
        <v>657.51878999999997</v>
      </c>
      <c r="F36" s="30"/>
      <c r="G36" s="30"/>
      <c r="H36" s="31">
        <f>D36+E36+G36+F36</f>
        <v>1911.6003299999998</v>
      </c>
    </row>
    <row r="37" spans="1:8" x14ac:dyDescent="0.2">
      <c r="A37" s="32"/>
      <c r="B37" s="38" t="s">
        <v>16</v>
      </c>
      <c r="C37" s="39"/>
      <c r="D37" s="31">
        <f>D36+D35+D34</f>
        <v>3629.2847191666665</v>
      </c>
      <c r="E37" s="31">
        <f t="shared" ref="E37:H37" si="2">E36+E35+E34</f>
        <v>1879.6898824999998</v>
      </c>
      <c r="F37" s="31">
        <f>F36+F35+F34</f>
        <v>10110.833329999999</v>
      </c>
      <c r="G37" s="31">
        <f t="shared" si="2"/>
        <v>0</v>
      </c>
      <c r="H37" s="31">
        <f t="shared" si="2"/>
        <v>15619.807931666666</v>
      </c>
    </row>
    <row r="38" spans="1:8" x14ac:dyDescent="0.2">
      <c r="A38" s="32"/>
      <c r="B38" s="38" t="s">
        <v>33</v>
      </c>
      <c r="C38" s="39"/>
      <c r="D38" s="31">
        <f>D37+D32</f>
        <v>3629.2847191666665</v>
      </c>
      <c r="E38" s="31">
        <f>E37+E32</f>
        <v>1879.6898824999998</v>
      </c>
      <c r="F38" s="31">
        <f>F37+F32</f>
        <v>10110.833329999999</v>
      </c>
      <c r="G38" s="31">
        <f>G37+G32</f>
        <v>66.926053333333329</v>
      </c>
      <c r="H38" s="31">
        <f>H37+H32</f>
        <v>15686.733984999999</v>
      </c>
    </row>
    <row r="39" spans="1:8" x14ac:dyDescent="0.2">
      <c r="A39" s="40" t="s">
        <v>43</v>
      </c>
      <c r="B39" s="41"/>
      <c r="C39" s="41"/>
      <c r="D39" s="41"/>
      <c r="E39" s="41"/>
      <c r="F39" s="41"/>
      <c r="G39" s="41"/>
      <c r="H39" s="41"/>
    </row>
    <row r="40" spans="1:8" ht="25.5" x14ac:dyDescent="0.2">
      <c r="A40" s="27">
        <v>12</v>
      </c>
      <c r="B40" s="29" t="s">
        <v>15</v>
      </c>
      <c r="C40" s="33" t="s">
        <v>67</v>
      </c>
      <c r="D40" s="26">
        <f>270326.09/1000</f>
        <v>270.32609000000002</v>
      </c>
      <c r="E40" s="26"/>
      <c r="F40" s="30"/>
      <c r="G40" s="30"/>
      <c r="H40" s="31">
        <f>D40+E40+G40+F40</f>
        <v>270.32609000000002</v>
      </c>
    </row>
    <row r="41" spans="1:8" x14ac:dyDescent="0.2">
      <c r="A41" s="32"/>
      <c r="B41" s="38" t="s">
        <v>46</v>
      </c>
      <c r="C41" s="39"/>
      <c r="D41" s="31">
        <f>D40</f>
        <v>270.32609000000002</v>
      </c>
      <c r="E41" s="31">
        <f>E40</f>
        <v>0</v>
      </c>
      <c r="F41" s="30">
        <f>F40</f>
        <v>0</v>
      </c>
      <c r="G41" s="30">
        <f>G40</f>
        <v>0</v>
      </c>
      <c r="H41" s="31">
        <f>H40</f>
        <v>270.32609000000002</v>
      </c>
    </row>
    <row r="42" spans="1:8" x14ac:dyDescent="0.2">
      <c r="A42" s="32"/>
      <c r="B42" s="38" t="s">
        <v>41</v>
      </c>
      <c r="C42" s="39"/>
      <c r="D42" s="31">
        <f>D41+D38</f>
        <v>3899.6108091666665</v>
      </c>
      <c r="E42" s="31">
        <f t="shared" ref="E42" si="3">E41+E38</f>
        <v>1879.6898824999998</v>
      </c>
      <c r="F42" s="31">
        <f t="shared" ref="F42" si="4">F41+F38</f>
        <v>10110.833329999999</v>
      </c>
      <c r="G42" s="31">
        <f t="shared" ref="G42" si="5">G41+G38</f>
        <v>66.926053333333329</v>
      </c>
      <c r="H42" s="31">
        <f>H41+H38</f>
        <v>15957.060074999999</v>
      </c>
    </row>
    <row r="43" spans="1:8" x14ac:dyDescent="0.2">
      <c r="A43" s="40" t="s">
        <v>44</v>
      </c>
      <c r="B43" s="41"/>
      <c r="C43" s="41"/>
      <c r="D43" s="41"/>
      <c r="E43" s="41"/>
      <c r="F43" s="41"/>
      <c r="G43" s="41"/>
      <c r="H43" s="41"/>
    </row>
    <row r="44" spans="1:8" x14ac:dyDescent="0.2">
      <c r="A44" s="27">
        <v>13</v>
      </c>
      <c r="B44" s="29" t="s">
        <v>15</v>
      </c>
      <c r="C44" s="33" t="s">
        <v>56</v>
      </c>
      <c r="D44" s="26"/>
      <c r="E44" s="26"/>
      <c r="F44" s="30"/>
      <c r="G44" s="30"/>
      <c r="H44" s="31">
        <f>D44+E44+G44+F44</f>
        <v>0</v>
      </c>
    </row>
    <row r="45" spans="1:8" x14ac:dyDescent="0.2">
      <c r="A45" s="32"/>
      <c r="B45" s="38" t="s">
        <v>45</v>
      </c>
      <c r="C45" s="39"/>
      <c r="D45" s="31">
        <f>D44</f>
        <v>0</v>
      </c>
      <c r="E45" s="31">
        <f>E44</f>
        <v>0</v>
      </c>
      <c r="F45" s="30">
        <f>F44</f>
        <v>0</v>
      </c>
      <c r="G45" s="30">
        <f>G44</f>
        <v>0</v>
      </c>
      <c r="H45" s="31">
        <f>H44</f>
        <v>0</v>
      </c>
    </row>
    <row r="46" spans="1:8" x14ac:dyDescent="0.2">
      <c r="A46" s="32"/>
      <c r="B46" s="38" t="s">
        <v>42</v>
      </c>
      <c r="C46" s="39"/>
      <c r="D46" s="31">
        <f>D45+D42</f>
        <v>3899.6108091666665</v>
      </c>
      <c r="E46" s="31">
        <f t="shared" ref="E46" si="6">E45+E42</f>
        <v>1879.6898824999998</v>
      </c>
      <c r="F46" s="31">
        <f t="shared" ref="F46" si="7">F45+F42</f>
        <v>10110.833329999999</v>
      </c>
      <c r="G46" s="31">
        <f t="shared" ref="G46" si="8">G45+G42</f>
        <v>66.926053333333329</v>
      </c>
      <c r="H46" s="31">
        <f>H45+H42</f>
        <v>15957.060074999999</v>
      </c>
    </row>
    <row r="47" spans="1:8" x14ac:dyDescent="0.2">
      <c r="A47" s="40" t="s">
        <v>32</v>
      </c>
      <c r="B47" s="41"/>
      <c r="C47" s="41"/>
      <c r="D47" s="41"/>
      <c r="E47" s="41"/>
      <c r="F47" s="41"/>
      <c r="G47" s="41"/>
      <c r="H47" s="41"/>
    </row>
    <row r="48" spans="1:8" x14ac:dyDescent="0.2">
      <c r="A48" s="27">
        <v>14</v>
      </c>
      <c r="B48" s="34" t="s">
        <v>15</v>
      </c>
      <c r="C48" s="34" t="s">
        <v>69</v>
      </c>
      <c r="D48" s="34"/>
      <c r="E48" s="34"/>
      <c r="F48" s="34"/>
      <c r="G48" s="35">
        <f>472785.93/1000</f>
        <v>472.78593000000001</v>
      </c>
      <c r="H48" s="31">
        <f t="shared" ref="H48" si="9">G48+F48+E48+D48</f>
        <v>472.78593000000001</v>
      </c>
    </row>
    <row r="49" spans="1:9" x14ac:dyDescent="0.2">
      <c r="A49" s="27">
        <v>15</v>
      </c>
      <c r="B49" s="34" t="s">
        <v>15</v>
      </c>
      <c r="C49" s="34" t="s">
        <v>68</v>
      </c>
      <c r="D49" s="34"/>
      <c r="E49" s="34"/>
      <c r="F49" s="34"/>
      <c r="G49" s="35">
        <f>3743.44/1000</f>
        <v>3.7434400000000001</v>
      </c>
      <c r="H49" s="31">
        <f t="shared" ref="H49" si="10">G49+F49+E49+D49</f>
        <v>3.7434400000000001</v>
      </c>
    </row>
    <row r="50" spans="1:9" x14ac:dyDescent="0.2">
      <c r="A50" s="27">
        <v>16</v>
      </c>
      <c r="B50" s="34" t="s">
        <v>15</v>
      </c>
      <c r="C50" s="34" t="s">
        <v>70</v>
      </c>
      <c r="D50" s="34"/>
      <c r="E50" s="34"/>
      <c r="F50" s="34"/>
      <c r="G50" s="35">
        <f>9802.88/1000</f>
        <v>9.80288</v>
      </c>
      <c r="H50" s="31">
        <f t="shared" ref="H50" si="11">G50+F50+E50+D50</f>
        <v>9.80288</v>
      </c>
    </row>
    <row r="51" spans="1:9" x14ac:dyDescent="0.2">
      <c r="A51" s="27">
        <v>17</v>
      </c>
      <c r="B51" s="28" t="s">
        <v>57</v>
      </c>
      <c r="C51" s="29" t="s">
        <v>47</v>
      </c>
      <c r="D51" s="30"/>
      <c r="E51" s="30"/>
      <c r="F51" s="30"/>
      <c r="G51" s="31"/>
      <c r="H51" s="31">
        <f>G51+F51+E51+D51</f>
        <v>0</v>
      </c>
    </row>
    <row r="52" spans="1:9" x14ac:dyDescent="0.2">
      <c r="A52" s="27">
        <v>18</v>
      </c>
      <c r="B52" s="28" t="s">
        <v>57</v>
      </c>
      <c r="C52" s="29" t="s">
        <v>38</v>
      </c>
      <c r="D52" s="30"/>
      <c r="E52" s="30"/>
      <c r="F52" s="30"/>
      <c r="G52" s="31">
        <f>11900*3/1000/1.2</f>
        <v>29.750000000000004</v>
      </c>
      <c r="H52" s="31">
        <f>G52+F52+E52+D52</f>
        <v>29.750000000000004</v>
      </c>
    </row>
    <row r="53" spans="1:9" ht="38.25" x14ac:dyDescent="0.2">
      <c r="A53" s="27">
        <v>19</v>
      </c>
      <c r="B53" s="29" t="s">
        <v>59</v>
      </c>
      <c r="C53" s="29" t="s">
        <v>61</v>
      </c>
      <c r="D53" s="30"/>
      <c r="E53" s="30"/>
      <c r="F53" s="30"/>
      <c r="G53" s="31">
        <f>961784.41/1000</f>
        <v>961.78440999999998</v>
      </c>
      <c r="H53" s="31">
        <f>G53+F53+E53+D53</f>
        <v>961.78440999999998</v>
      </c>
      <c r="I53" s="36"/>
    </row>
    <row r="54" spans="1:9" x14ac:dyDescent="0.2">
      <c r="A54" s="32"/>
      <c r="B54" s="38" t="s">
        <v>34</v>
      </c>
      <c r="C54" s="39"/>
      <c r="D54" s="30">
        <f>D52+D50+D51+D53+D49+D48</f>
        <v>0</v>
      </c>
      <c r="E54" s="30">
        <f t="shared" ref="E54:G54" si="12">E52+E50+E51+E53+E49+E48</f>
        <v>0</v>
      </c>
      <c r="F54" s="30">
        <f t="shared" si="12"/>
        <v>0</v>
      </c>
      <c r="G54" s="30">
        <f t="shared" si="12"/>
        <v>1477.8666599999999</v>
      </c>
      <c r="H54" s="31">
        <f>D54+E54+F54+G54</f>
        <v>1477.8666599999999</v>
      </c>
    </row>
    <row r="55" spans="1:9" x14ac:dyDescent="0.2">
      <c r="A55" s="32"/>
      <c r="B55" s="38" t="s">
        <v>17</v>
      </c>
      <c r="C55" s="39"/>
      <c r="D55" s="31">
        <f>D54+D46</f>
        <v>3899.6108091666665</v>
      </c>
      <c r="E55" s="31">
        <f>E54+E46</f>
        <v>1879.6898824999998</v>
      </c>
      <c r="F55" s="31">
        <f>F54+F46</f>
        <v>10110.833329999999</v>
      </c>
      <c r="G55" s="31">
        <f>G54+G46</f>
        <v>1544.7927133333333</v>
      </c>
      <c r="H55" s="31">
        <f>H54+H46</f>
        <v>17434.926735000001</v>
      </c>
    </row>
    <row r="56" spans="1:9" x14ac:dyDescent="0.2">
      <c r="A56" s="40" t="s">
        <v>28</v>
      </c>
      <c r="B56" s="41"/>
      <c r="C56" s="41"/>
      <c r="D56" s="41"/>
      <c r="E56" s="41"/>
      <c r="F56" s="41"/>
      <c r="G56" s="41"/>
      <c r="H56" s="41"/>
    </row>
    <row r="57" spans="1:9" ht="39" customHeight="1" x14ac:dyDescent="0.2">
      <c r="A57" s="27">
        <v>20</v>
      </c>
      <c r="B57" s="29" t="s">
        <v>60</v>
      </c>
      <c r="C57" s="29" t="s">
        <v>26</v>
      </c>
      <c r="D57" s="30"/>
      <c r="E57" s="30"/>
      <c r="F57" s="30"/>
      <c r="G57" s="31">
        <f>205646.9/1000</f>
        <v>205.64689999999999</v>
      </c>
      <c r="H57" s="31">
        <f>D57+E57+F57+G57</f>
        <v>205.64689999999999</v>
      </c>
      <c r="I57" s="36"/>
    </row>
    <row r="58" spans="1:9" ht="41.25" customHeight="1" x14ac:dyDescent="0.2">
      <c r="A58" s="27">
        <v>21</v>
      </c>
      <c r="B58" s="29" t="s">
        <v>62</v>
      </c>
      <c r="C58" s="58" t="s">
        <v>27</v>
      </c>
      <c r="D58" s="30"/>
      <c r="E58" s="30"/>
      <c r="F58" s="30"/>
      <c r="G58" s="31">
        <f>1702924.57/1000</f>
        <v>1702.9245700000001</v>
      </c>
      <c r="H58" s="31">
        <f>D58+E58+F58+G58</f>
        <v>1702.9245700000001</v>
      </c>
      <c r="I58" s="36"/>
    </row>
    <row r="59" spans="1:9" ht="12.75" customHeight="1" x14ac:dyDescent="0.2">
      <c r="A59" s="55" t="s">
        <v>31</v>
      </c>
      <c r="B59" s="56"/>
      <c r="C59" s="57"/>
      <c r="D59" s="21">
        <f>D57+D58</f>
        <v>0</v>
      </c>
      <c r="E59" s="21">
        <f t="shared" ref="E59:F59" si="13">E57+E58</f>
        <v>0</v>
      </c>
      <c r="F59" s="21">
        <f t="shared" si="13"/>
        <v>0</v>
      </c>
      <c r="G59" s="21">
        <f>G57+G58</f>
        <v>1908.5714700000001</v>
      </c>
      <c r="H59" s="20">
        <f>D59+E59+F59+G59</f>
        <v>1908.5714700000001</v>
      </c>
    </row>
    <row r="60" spans="1:9" x14ac:dyDescent="0.2">
      <c r="A60" s="22"/>
      <c r="B60" s="53" t="s">
        <v>29</v>
      </c>
      <c r="C60" s="54"/>
      <c r="D60" s="20">
        <f>D55+D59</f>
        <v>3899.6108091666665</v>
      </c>
      <c r="E60" s="20">
        <f t="shared" ref="E60:G60" si="14">E55+E59</f>
        <v>1879.6898824999998</v>
      </c>
      <c r="F60" s="20">
        <f t="shared" si="14"/>
        <v>10110.833329999999</v>
      </c>
      <c r="G60" s="20">
        <f t="shared" si="14"/>
        <v>3453.3641833333331</v>
      </c>
      <c r="H60" s="20">
        <f>H59+H55</f>
        <v>19343.498205</v>
      </c>
    </row>
    <row r="61" spans="1:9" x14ac:dyDescent="0.2">
      <c r="A61" s="51" t="s">
        <v>18</v>
      </c>
      <c r="B61" s="52"/>
      <c r="C61" s="52"/>
      <c r="D61" s="52"/>
      <c r="E61" s="52"/>
      <c r="F61" s="52"/>
      <c r="G61" s="52"/>
      <c r="H61" s="52"/>
    </row>
    <row r="62" spans="1:9" x14ac:dyDescent="0.2">
      <c r="A62" s="18">
        <v>22</v>
      </c>
      <c r="B62" s="23" t="s">
        <v>15</v>
      </c>
      <c r="C62" s="19" t="s">
        <v>71</v>
      </c>
      <c r="D62" s="21"/>
      <c r="E62" s="21"/>
      <c r="F62" s="21"/>
      <c r="G62" s="20">
        <f>809165.86/1000/1.2</f>
        <v>674.30488333333335</v>
      </c>
      <c r="H62" s="20">
        <f>G62+F62+E62+D62</f>
        <v>674.30488333333335</v>
      </c>
    </row>
    <row r="63" spans="1:9" x14ac:dyDescent="0.2">
      <c r="A63" s="18">
        <v>23</v>
      </c>
      <c r="B63" s="23" t="s">
        <v>15</v>
      </c>
      <c r="C63" s="19" t="s">
        <v>72</v>
      </c>
      <c r="D63" s="21"/>
      <c r="E63" s="21"/>
      <c r="F63" s="21"/>
      <c r="G63" s="20">
        <f>67069.37/1000/1.2</f>
        <v>55.891141666666663</v>
      </c>
      <c r="H63" s="20">
        <f>G63+F63+E63+D63</f>
        <v>55.891141666666663</v>
      </c>
    </row>
    <row r="64" spans="1:9" x14ac:dyDescent="0.2">
      <c r="A64" s="18">
        <v>24</v>
      </c>
      <c r="B64" s="23" t="s">
        <v>15</v>
      </c>
      <c r="C64" s="19" t="s">
        <v>73</v>
      </c>
      <c r="D64" s="21"/>
      <c r="E64" s="21"/>
      <c r="F64" s="21"/>
      <c r="G64" s="20">
        <f>210406.01/1000/1.2</f>
        <v>175.33834166666668</v>
      </c>
      <c r="H64" s="20">
        <f>G64+F64+E64+D64</f>
        <v>175.33834166666668</v>
      </c>
    </row>
    <row r="65" spans="1:8" x14ac:dyDescent="0.2">
      <c r="A65" s="22"/>
      <c r="B65" s="53" t="s">
        <v>20</v>
      </c>
      <c r="C65" s="54"/>
      <c r="D65" s="20">
        <f>D64+D63+D62</f>
        <v>0</v>
      </c>
      <c r="E65" s="20">
        <f t="shared" ref="E65:G65" si="15">E64+E63+E62</f>
        <v>0</v>
      </c>
      <c r="F65" s="20">
        <f t="shared" si="15"/>
        <v>0</v>
      </c>
      <c r="G65" s="20">
        <f t="shared" si="15"/>
        <v>905.53436666666676</v>
      </c>
      <c r="H65" s="20">
        <f>G65+F65+E65+D65</f>
        <v>905.53436666666676</v>
      </c>
    </row>
    <row r="66" spans="1:8" x14ac:dyDescent="0.2">
      <c r="A66" s="22"/>
      <c r="B66" s="53" t="s">
        <v>21</v>
      </c>
      <c r="C66" s="54"/>
      <c r="D66" s="20">
        <f>D60+D65</f>
        <v>3899.6108091666665</v>
      </c>
      <c r="E66" s="20">
        <f>E60+E65</f>
        <v>1879.6898824999998</v>
      </c>
      <c r="F66" s="20">
        <f>F60+F65</f>
        <v>10110.833329999999</v>
      </c>
      <c r="G66" s="20">
        <f>G60+G65</f>
        <v>4358.8985499999999</v>
      </c>
      <c r="H66" s="20">
        <f>D66+E66+F66+G66</f>
        <v>20249.032571666663</v>
      </c>
    </row>
    <row r="67" spans="1:8" x14ac:dyDescent="0.2">
      <c r="A67" s="51" t="s">
        <v>22</v>
      </c>
      <c r="B67" s="52"/>
      <c r="C67" s="52"/>
      <c r="D67" s="52"/>
      <c r="E67" s="52"/>
      <c r="F67" s="52"/>
      <c r="G67" s="52"/>
      <c r="H67" s="52"/>
    </row>
    <row r="68" spans="1:8" x14ac:dyDescent="0.2">
      <c r="A68" s="18">
        <v>25</v>
      </c>
      <c r="B68" s="23"/>
      <c r="C68" s="19" t="s">
        <v>23</v>
      </c>
      <c r="D68" s="20">
        <f>D66/100*20</f>
        <v>779.92216183333323</v>
      </c>
      <c r="E68" s="20">
        <f>E66/100*20</f>
        <v>375.93797649999999</v>
      </c>
      <c r="F68" s="20">
        <f>F66/100*20</f>
        <v>2022.1666660000001</v>
      </c>
      <c r="G68" s="20">
        <f>G66/100*20</f>
        <v>871.77971000000002</v>
      </c>
      <c r="H68" s="20">
        <f>H66/100*20</f>
        <v>4049.8065143333324</v>
      </c>
    </row>
    <row r="69" spans="1:8" x14ac:dyDescent="0.2">
      <c r="A69" s="22"/>
      <c r="B69" s="53" t="s">
        <v>24</v>
      </c>
      <c r="C69" s="54"/>
      <c r="D69" s="20">
        <f>D68</f>
        <v>779.92216183333323</v>
      </c>
      <c r="E69" s="20">
        <f>E68</f>
        <v>375.93797649999999</v>
      </c>
      <c r="F69" s="21">
        <f>F68</f>
        <v>2022.1666660000001</v>
      </c>
      <c r="G69" s="20">
        <f>G68</f>
        <v>871.77971000000002</v>
      </c>
      <c r="H69" s="20">
        <f>D69+E69+F69+G69</f>
        <v>4049.8065143333333</v>
      </c>
    </row>
    <row r="70" spans="1:8" x14ac:dyDescent="0.2">
      <c r="A70" s="22"/>
      <c r="B70" s="53" t="s">
        <v>25</v>
      </c>
      <c r="C70" s="54"/>
      <c r="D70" s="20">
        <f>D66+D68</f>
        <v>4679.5329709999996</v>
      </c>
      <c r="E70" s="20">
        <f>E66+E68</f>
        <v>2255.6278589999997</v>
      </c>
      <c r="F70" s="20">
        <f>F66+F68</f>
        <v>12132.999995999999</v>
      </c>
      <c r="G70" s="20">
        <f>G66+G68</f>
        <v>5230.6782599999997</v>
      </c>
      <c r="H70" s="20">
        <f>H66+H68</f>
        <v>24298.839085999996</v>
      </c>
    </row>
    <row r="73" spans="1:8" ht="12.75" customHeight="1" x14ac:dyDescent="0.2">
      <c r="A73" s="37" t="s">
        <v>51</v>
      </c>
      <c r="B73" s="37"/>
      <c r="C73" s="37"/>
      <c r="D73" s="37"/>
      <c r="E73" s="37"/>
      <c r="F73" s="37"/>
      <c r="G73" s="37"/>
      <c r="H73" s="37"/>
    </row>
    <row r="74" spans="1:8" ht="12.75" customHeight="1" x14ac:dyDescent="0.2">
      <c r="A74" s="37"/>
      <c r="B74" s="37"/>
      <c r="C74" s="37"/>
      <c r="D74" s="37"/>
      <c r="E74" s="37"/>
      <c r="F74" s="37"/>
      <c r="G74" s="37"/>
      <c r="H74" s="37"/>
    </row>
    <row r="75" spans="1:8" ht="12.75" customHeight="1" x14ac:dyDescent="0.2">
      <c r="A75" s="37"/>
      <c r="B75" s="37"/>
      <c r="C75" s="37"/>
      <c r="D75" s="37"/>
      <c r="E75" s="37"/>
      <c r="F75" s="37"/>
      <c r="G75" s="37"/>
      <c r="H75" s="37"/>
    </row>
    <row r="76" spans="1:8" ht="12.75" customHeight="1" x14ac:dyDescent="0.2">
      <c r="A76" s="37"/>
      <c r="B76" s="37"/>
      <c r="C76" s="37"/>
      <c r="D76" s="37"/>
      <c r="E76" s="37"/>
      <c r="F76" s="37"/>
      <c r="G76" s="37"/>
      <c r="H76" s="37"/>
    </row>
    <row r="77" spans="1:8" ht="12.75" customHeight="1" x14ac:dyDescent="0.2">
      <c r="A77" s="37"/>
      <c r="B77" s="37"/>
      <c r="C77" s="37"/>
      <c r="D77" s="37"/>
      <c r="E77" s="37"/>
      <c r="F77" s="37"/>
      <c r="G77" s="37"/>
      <c r="H77" s="37"/>
    </row>
    <row r="78" spans="1:8" ht="12.75" customHeight="1" x14ac:dyDescent="0.2">
      <c r="A78" s="37"/>
      <c r="B78" s="37"/>
      <c r="C78" s="37"/>
      <c r="D78" s="37"/>
      <c r="E78" s="37"/>
      <c r="F78" s="37"/>
      <c r="G78" s="37"/>
      <c r="H78" s="37"/>
    </row>
    <row r="79" spans="1:8" ht="12.75" customHeight="1" x14ac:dyDescent="0.2">
      <c r="A79" s="37"/>
      <c r="B79" s="37"/>
      <c r="C79" s="37"/>
      <c r="D79" s="37"/>
      <c r="E79" s="37"/>
      <c r="F79" s="37"/>
      <c r="G79" s="37"/>
      <c r="H79" s="37"/>
    </row>
    <row r="80" spans="1:8" ht="12.75" customHeight="1" x14ac:dyDescent="0.2">
      <c r="A80" s="37"/>
      <c r="B80" s="37"/>
      <c r="C80" s="37"/>
      <c r="D80" s="37"/>
      <c r="E80" s="37"/>
      <c r="F80" s="37"/>
      <c r="G80" s="37"/>
      <c r="H80" s="37"/>
    </row>
    <row r="81" spans="1:8" x14ac:dyDescent="0.2">
      <c r="A81" s="37"/>
      <c r="B81" s="37"/>
      <c r="C81" s="37"/>
      <c r="D81" s="37"/>
      <c r="E81" s="37"/>
      <c r="F81" s="37"/>
      <c r="G81" s="37"/>
      <c r="H81" s="37"/>
    </row>
    <row r="82" spans="1:8" x14ac:dyDescent="0.2">
      <c r="A82" s="37"/>
      <c r="B82" s="37"/>
      <c r="C82" s="37"/>
      <c r="D82" s="37"/>
      <c r="E82" s="37"/>
      <c r="F82" s="37"/>
      <c r="G82" s="37"/>
      <c r="H82" s="37"/>
    </row>
    <row r="83" spans="1:8" x14ac:dyDescent="0.2">
      <c r="A83" s="37"/>
      <c r="B83" s="37"/>
      <c r="C83" s="37"/>
      <c r="D83" s="37"/>
      <c r="E83" s="37"/>
      <c r="F83" s="37"/>
      <c r="G83" s="37"/>
      <c r="H83" s="37"/>
    </row>
  </sheetData>
  <mergeCells count="38">
    <mergeCell ref="A23:H23"/>
    <mergeCell ref="B66:C66"/>
    <mergeCell ref="A67:H67"/>
    <mergeCell ref="B69:C69"/>
    <mergeCell ref="B70:C70"/>
    <mergeCell ref="B37:C37"/>
    <mergeCell ref="B38:C38"/>
    <mergeCell ref="A61:H61"/>
    <mergeCell ref="B65:C65"/>
    <mergeCell ref="A56:H56"/>
    <mergeCell ref="B60:C60"/>
    <mergeCell ref="A47:H47"/>
    <mergeCell ref="B54:C54"/>
    <mergeCell ref="A59:C59"/>
    <mergeCell ref="B55:C55"/>
    <mergeCell ref="B45:C45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73:H83"/>
    <mergeCell ref="B32:C32"/>
    <mergeCell ref="A39:H39"/>
    <mergeCell ref="B41:C41"/>
    <mergeCell ref="B42:C42"/>
    <mergeCell ref="A43:H43"/>
    <mergeCell ref="A33:H33"/>
    <mergeCell ref="B46:C46"/>
  </mergeCells>
  <pageMargins left="0.23622047244094491" right="0.23622047244094491" top="0.74803149606299213" bottom="0.74803149606299213" header="0.31496062992125984" footer="0.31496062992125984"/>
  <pageSetup paperSize="9" scale="6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1"/>
  <sheetViews>
    <sheetView tabSelected="1" view="pageBreakPreview" zoomScale="75" zoomScaleNormal="75" zoomScaleSheetLayoutView="75" workbookViewId="0">
      <selection activeCell="P24" sqref="P2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2" t="s">
        <v>2</v>
      </c>
      <c r="D2" s="42"/>
      <c r="E2" s="42"/>
      <c r="F2" s="42"/>
      <c r="G2" s="4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9" t="s">
        <v>53</v>
      </c>
      <c r="C6" s="49"/>
      <c r="D6" s="24">
        <f>H70</f>
        <v>3984.8135948496706</v>
      </c>
      <c r="E6" s="2" t="s">
        <v>30</v>
      </c>
      <c r="F6" s="2"/>
      <c r="G6" s="2"/>
      <c r="H6" s="2"/>
    </row>
    <row r="7" spans="2:8" x14ac:dyDescent="0.2">
      <c r="B7" s="50" t="s">
        <v>4</v>
      </c>
      <c r="C7" s="50"/>
      <c r="D7" s="2"/>
      <c r="E7" s="2" t="s">
        <v>30</v>
      </c>
      <c r="F7" s="2"/>
      <c r="G7" s="2"/>
      <c r="H7" s="2"/>
    </row>
    <row r="8" spans="2:8" x14ac:dyDescent="0.2">
      <c r="C8" s="43"/>
      <c r="D8" s="44"/>
      <c r="E8" s="44"/>
      <c r="F8" s="44"/>
      <c r="G8" s="44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44.25" customHeight="1" x14ac:dyDescent="0.2">
      <c r="C14" s="45" t="s">
        <v>64</v>
      </c>
      <c r="D14" s="42"/>
      <c r="E14" s="42"/>
      <c r="F14" s="42"/>
      <c r="G14" s="42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52</v>
      </c>
      <c r="D17" s="13"/>
      <c r="E17" s="2"/>
      <c r="F17" s="2"/>
      <c r="G17" s="2"/>
      <c r="H17" s="2"/>
    </row>
    <row r="18" spans="1:8" ht="12.75" customHeight="1" x14ac:dyDescent="0.2">
      <c r="A18" s="46" t="s">
        <v>8</v>
      </c>
      <c r="B18" s="47" t="s">
        <v>49</v>
      </c>
      <c r="C18" s="47" t="s">
        <v>9</v>
      </c>
      <c r="D18" s="48" t="s">
        <v>10</v>
      </c>
      <c r="E18" s="48"/>
      <c r="F18" s="48"/>
      <c r="G18" s="48"/>
      <c r="H18" s="46" t="s">
        <v>50</v>
      </c>
    </row>
    <row r="19" spans="1:8" ht="12.75" customHeight="1" x14ac:dyDescent="0.2">
      <c r="A19" s="46"/>
      <c r="B19" s="47"/>
      <c r="C19" s="47"/>
      <c r="D19" s="46" t="s">
        <v>11</v>
      </c>
      <c r="E19" s="46" t="s">
        <v>12</v>
      </c>
      <c r="F19" s="46" t="s">
        <v>13</v>
      </c>
      <c r="G19" s="46" t="s">
        <v>37</v>
      </c>
      <c r="H19" s="46"/>
    </row>
    <row r="20" spans="1:8" x14ac:dyDescent="0.2">
      <c r="A20" s="46"/>
      <c r="B20" s="47"/>
      <c r="C20" s="47"/>
      <c r="D20" s="46"/>
      <c r="E20" s="46"/>
      <c r="F20" s="46"/>
      <c r="G20" s="46"/>
      <c r="H20" s="46"/>
    </row>
    <row r="21" spans="1:8" x14ac:dyDescent="0.2">
      <c r="A21" s="46"/>
      <c r="B21" s="47"/>
      <c r="C21" s="47"/>
      <c r="D21" s="46"/>
      <c r="E21" s="46"/>
      <c r="F21" s="46"/>
      <c r="G21" s="46"/>
      <c r="H21" s="46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51" t="s">
        <v>35</v>
      </c>
      <c r="B23" s="52"/>
      <c r="C23" s="52"/>
      <c r="D23" s="52"/>
      <c r="E23" s="52"/>
      <c r="F23" s="52"/>
      <c r="G23" s="52"/>
      <c r="H23" s="52"/>
    </row>
    <row r="24" spans="1:8" x14ac:dyDescent="0.2">
      <c r="A24" s="27">
        <v>1</v>
      </c>
      <c r="B24" s="28" t="s">
        <v>57</v>
      </c>
      <c r="C24" s="29" t="s">
        <v>19</v>
      </c>
      <c r="D24" s="30"/>
      <c r="E24" s="30"/>
      <c r="F24" s="30"/>
      <c r="G24" s="31">
        <f>(6633.34+6633.33+6633.33)/1000/1.2/12.54</f>
        <v>1.3224348750664541</v>
      </c>
      <c r="H24" s="31">
        <f>G24+F24+E24+D24</f>
        <v>1.3224348750664541</v>
      </c>
    </row>
    <row r="25" spans="1:8" x14ac:dyDescent="0.2">
      <c r="A25" s="27">
        <v>2</v>
      </c>
      <c r="B25" s="28" t="s">
        <v>57</v>
      </c>
      <c r="C25" s="29" t="s">
        <v>74</v>
      </c>
      <c r="D25" s="30"/>
      <c r="E25" s="30"/>
      <c r="F25" s="30"/>
      <c r="G25" s="31">
        <f>10200/1000/1.2/12.54</f>
        <v>0.67783094098883578</v>
      </c>
      <c r="H25" s="31">
        <f t="shared" ref="H25:H30" si="0">G25+F25+E25+D25</f>
        <v>0.67783094098883578</v>
      </c>
    </row>
    <row r="26" spans="1:8" x14ac:dyDescent="0.2">
      <c r="A26" s="27">
        <v>3</v>
      </c>
      <c r="B26" s="28" t="s">
        <v>57</v>
      </c>
      <c r="C26" s="29" t="s">
        <v>55</v>
      </c>
      <c r="D26" s="30"/>
      <c r="E26" s="30"/>
      <c r="F26" s="30"/>
      <c r="G26" s="31"/>
      <c r="H26" s="31">
        <f t="shared" si="0"/>
        <v>0</v>
      </c>
    </row>
    <row r="27" spans="1:8" x14ac:dyDescent="0.2">
      <c r="A27" s="27">
        <v>4</v>
      </c>
      <c r="B27" s="28" t="s">
        <v>57</v>
      </c>
      <c r="C27" s="29" t="s">
        <v>75</v>
      </c>
      <c r="D27" s="30"/>
      <c r="E27" s="30"/>
      <c r="F27" s="30"/>
      <c r="G27" s="31">
        <f>4.25/12.54</f>
        <v>0.33891547049441789</v>
      </c>
      <c r="H27" s="31">
        <f t="shared" si="0"/>
        <v>0.33891547049441789</v>
      </c>
    </row>
    <row r="28" spans="1:8" x14ac:dyDescent="0.2">
      <c r="A28" s="27">
        <v>5</v>
      </c>
      <c r="B28" s="28" t="s">
        <v>57</v>
      </c>
      <c r="C28" s="29" t="s">
        <v>39</v>
      </c>
      <c r="D28" s="30"/>
      <c r="E28" s="30"/>
      <c r="F28" s="30"/>
      <c r="G28" s="31">
        <f>12920*3/1000/1.2/12.54</f>
        <v>2.5757575757575757</v>
      </c>
      <c r="H28" s="31">
        <f>G28+F28+E28+D28</f>
        <v>2.5757575757575757</v>
      </c>
    </row>
    <row r="29" spans="1:8" x14ac:dyDescent="0.2">
      <c r="A29" s="27">
        <v>6</v>
      </c>
      <c r="B29" s="28" t="s">
        <v>57</v>
      </c>
      <c r="C29" s="29" t="s">
        <v>48</v>
      </c>
      <c r="D29" s="30"/>
      <c r="E29" s="30"/>
      <c r="F29" s="30"/>
      <c r="G29" s="31">
        <f>(1764.24+1764.26+1764.22)/1000/12.54</f>
        <v>0.42206698564593303</v>
      </c>
      <c r="H29" s="31">
        <f t="shared" si="0"/>
        <v>0.42206698564593303</v>
      </c>
    </row>
    <row r="30" spans="1:8" x14ac:dyDescent="0.2">
      <c r="A30" s="27">
        <v>7</v>
      </c>
      <c r="B30" s="28" t="s">
        <v>15</v>
      </c>
      <c r="C30" s="29" t="s">
        <v>58</v>
      </c>
      <c r="D30" s="30"/>
      <c r="E30" s="30"/>
      <c r="F30" s="30"/>
      <c r="G30" s="31"/>
      <c r="H30" s="31">
        <f t="shared" si="0"/>
        <v>0</v>
      </c>
    </row>
    <row r="31" spans="1:8" x14ac:dyDescent="0.2">
      <c r="A31" s="27">
        <v>8</v>
      </c>
      <c r="B31" s="28" t="s">
        <v>15</v>
      </c>
      <c r="C31" s="29" t="s">
        <v>40</v>
      </c>
      <c r="D31" s="30"/>
      <c r="E31" s="30"/>
      <c r="F31" s="30"/>
      <c r="G31" s="31"/>
      <c r="H31" s="31">
        <f>G31+F31+E31+D31</f>
        <v>0</v>
      </c>
    </row>
    <row r="32" spans="1:8" ht="12.75" customHeight="1" x14ac:dyDescent="0.2">
      <c r="A32" s="32"/>
      <c r="B32" s="38" t="s">
        <v>36</v>
      </c>
      <c r="C32" s="39"/>
      <c r="D32" s="31">
        <f>D24+D31+D25+D27+D29+D26+D28+D30</f>
        <v>0</v>
      </c>
      <c r="E32" s="31">
        <f t="shared" ref="E32:F32" si="1">E24+E31+E25+E27+E29+E26+E28+E30</f>
        <v>0</v>
      </c>
      <c r="F32" s="31">
        <f t="shared" si="1"/>
        <v>0</v>
      </c>
      <c r="G32" s="31">
        <f>G24+G31+G25+G27+G29+G26+G28+G30</f>
        <v>5.3370058479532165</v>
      </c>
      <c r="H32" s="31">
        <f>H24+H31+H25+H27+H29+H26+H28+H30</f>
        <v>5.3370058479532165</v>
      </c>
    </row>
    <row r="33" spans="1:8" ht="12.75" customHeight="1" x14ac:dyDescent="0.2">
      <c r="A33" s="40" t="s">
        <v>14</v>
      </c>
      <c r="B33" s="41"/>
      <c r="C33" s="41"/>
      <c r="D33" s="41"/>
      <c r="E33" s="41"/>
      <c r="F33" s="41"/>
      <c r="G33" s="41"/>
      <c r="H33" s="41"/>
    </row>
    <row r="34" spans="1:8" ht="25.5" x14ac:dyDescent="0.2">
      <c r="A34" s="27">
        <v>9</v>
      </c>
      <c r="B34" s="29" t="s">
        <v>15</v>
      </c>
      <c r="C34" s="33" t="s">
        <v>65</v>
      </c>
      <c r="D34" s="26">
        <f>(4050317.23/1000/1.2*0.7-G48)/7.21</f>
        <v>318.60075073932865</v>
      </c>
      <c r="E34" s="26">
        <f>(4050317.23/1000/1.2*0.3)/7.21</f>
        <v>140.4409580443828</v>
      </c>
      <c r="F34" s="30">
        <f>10110833.33/1000/6.33</f>
        <v>1597.288045813586</v>
      </c>
      <c r="G34" s="30"/>
      <c r="H34" s="31">
        <f>D34+E34+G34+F34</f>
        <v>2056.3297545972973</v>
      </c>
    </row>
    <row r="35" spans="1:8" ht="38.25" x14ac:dyDescent="0.2">
      <c r="A35" s="27">
        <v>10</v>
      </c>
      <c r="B35" s="29" t="s">
        <v>15</v>
      </c>
      <c r="C35" s="33" t="s">
        <v>66</v>
      </c>
      <c r="D35" s="26">
        <f>(838367.14/1000/1.2*0.7-G49)/7.21</f>
        <v>67.757045384710594</v>
      </c>
      <c r="E35" s="26">
        <f>(838367.14/1000/1.2*0.3)/7.21</f>
        <v>29.069595700416091</v>
      </c>
      <c r="F35" s="30"/>
      <c r="G35" s="30"/>
      <c r="H35" s="31">
        <f>D35+E35+G35+F35</f>
        <v>96.826641085126681</v>
      </c>
    </row>
    <row r="36" spans="1:8" ht="25.5" x14ac:dyDescent="0.2">
      <c r="A36" s="27">
        <v>11</v>
      </c>
      <c r="B36" s="29" t="s">
        <v>15</v>
      </c>
      <c r="C36" s="33" t="s">
        <v>67</v>
      </c>
      <c r="D36" s="26">
        <f>((2136805.3+493269.86)/1000/1.2*0.7-G50-D40)/7.21</f>
        <v>207.40050913837115</v>
      </c>
      <c r="E36" s="26">
        <f>((2136805.3+493269.86)/1000/1.2*0.3)/7.21</f>
        <v>91.195393897364767</v>
      </c>
      <c r="F36" s="30"/>
      <c r="G36" s="30"/>
      <c r="H36" s="31">
        <f>D36+E36+G36+F36</f>
        <v>298.59590303573589</v>
      </c>
    </row>
    <row r="37" spans="1:8" ht="12.75" customHeight="1" x14ac:dyDescent="0.2">
      <c r="A37" s="32"/>
      <c r="B37" s="38" t="s">
        <v>16</v>
      </c>
      <c r="C37" s="39"/>
      <c r="D37" s="31">
        <f>D36+D35+D34</f>
        <v>593.75830526241043</v>
      </c>
      <c r="E37" s="31">
        <f t="shared" ref="E37:H37" si="2">E36+E35+E34</f>
        <v>260.70594764216366</v>
      </c>
      <c r="F37" s="31">
        <f>F36+F35+F34</f>
        <v>1597.288045813586</v>
      </c>
      <c r="G37" s="31">
        <f t="shared" si="2"/>
        <v>0</v>
      </c>
      <c r="H37" s="31">
        <f t="shared" si="2"/>
        <v>2451.7522987181601</v>
      </c>
    </row>
    <row r="38" spans="1:8" x14ac:dyDescent="0.2">
      <c r="A38" s="32"/>
      <c r="B38" s="38" t="s">
        <v>33</v>
      </c>
      <c r="C38" s="39"/>
      <c r="D38" s="31">
        <f>D37+D32</f>
        <v>593.75830526241043</v>
      </c>
      <c r="E38" s="31">
        <f>E37+E32</f>
        <v>260.70594764216366</v>
      </c>
      <c r="F38" s="31">
        <f>F37+F32</f>
        <v>1597.288045813586</v>
      </c>
      <c r="G38" s="31">
        <f>G37+G32</f>
        <v>5.3370058479532165</v>
      </c>
      <c r="H38" s="31">
        <f>H37+H32</f>
        <v>2457.0893045661132</v>
      </c>
    </row>
    <row r="39" spans="1:8" ht="12.75" customHeight="1" x14ac:dyDescent="0.2">
      <c r="A39" s="40" t="s">
        <v>43</v>
      </c>
      <c r="B39" s="41"/>
      <c r="C39" s="41"/>
      <c r="D39" s="41"/>
      <c r="E39" s="41"/>
      <c r="F39" s="41"/>
      <c r="G39" s="41"/>
      <c r="H39" s="41"/>
    </row>
    <row r="40" spans="1:8" ht="25.5" x14ac:dyDescent="0.2">
      <c r="A40" s="27">
        <v>12</v>
      </c>
      <c r="B40" s="29" t="s">
        <v>15</v>
      </c>
      <c r="C40" s="33" t="s">
        <v>67</v>
      </c>
      <c r="D40" s="26">
        <f>270326.09/1000/7.21</f>
        <v>37.493216366158116</v>
      </c>
      <c r="E40" s="26"/>
      <c r="F40" s="30"/>
      <c r="G40" s="30"/>
      <c r="H40" s="31">
        <f>D40+E40+G40+F40</f>
        <v>37.493216366158116</v>
      </c>
    </row>
    <row r="41" spans="1:8" ht="12.75" customHeight="1" x14ac:dyDescent="0.2">
      <c r="A41" s="32"/>
      <c r="B41" s="38" t="s">
        <v>46</v>
      </c>
      <c r="C41" s="39"/>
      <c r="D41" s="31">
        <f>D40</f>
        <v>37.493216366158116</v>
      </c>
      <c r="E41" s="31">
        <f>E40</f>
        <v>0</v>
      </c>
      <c r="F41" s="30">
        <f>F40</f>
        <v>0</v>
      </c>
      <c r="G41" s="30">
        <f>G40</f>
        <v>0</v>
      </c>
      <c r="H41" s="31">
        <f>H40</f>
        <v>37.493216366158116</v>
      </c>
    </row>
    <row r="42" spans="1:8" x14ac:dyDescent="0.2">
      <c r="A42" s="32"/>
      <c r="B42" s="38" t="s">
        <v>41</v>
      </c>
      <c r="C42" s="39"/>
      <c r="D42" s="31">
        <f>D41+D38</f>
        <v>631.25152162856853</v>
      </c>
      <c r="E42" s="31">
        <f t="shared" ref="E42:G42" si="3">E41+E38</f>
        <v>260.70594764216366</v>
      </c>
      <c r="F42" s="31">
        <f t="shared" si="3"/>
        <v>1597.288045813586</v>
      </c>
      <c r="G42" s="31">
        <f t="shared" si="3"/>
        <v>5.3370058479532165</v>
      </c>
      <c r="H42" s="31">
        <f>H41+H38</f>
        <v>2494.5825209322716</v>
      </c>
    </row>
    <row r="43" spans="1:8" ht="12.75" customHeight="1" x14ac:dyDescent="0.2">
      <c r="A43" s="40" t="s">
        <v>44</v>
      </c>
      <c r="B43" s="41"/>
      <c r="C43" s="41"/>
      <c r="D43" s="41"/>
      <c r="E43" s="41"/>
      <c r="F43" s="41"/>
      <c r="G43" s="41"/>
      <c r="H43" s="41"/>
    </row>
    <row r="44" spans="1:8" x14ac:dyDescent="0.2">
      <c r="A44" s="27">
        <v>13</v>
      </c>
      <c r="B44" s="29" t="s">
        <v>15</v>
      </c>
      <c r="C44" s="33" t="s">
        <v>56</v>
      </c>
      <c r="D44" s="26"/>
      <c r="E44" s="26"/>
      <c r="F44" s="30"/>
      <c r="G44" s="30"/>
      <c r="H44" s="31">
        <f>D44+E44+G44+F44</f>
        <v>0</v>
      </c>
    </row>
    <row r="45" spans="1:8" ht="12.75" customHeight="1" x14ac:dyDescent="0.2">
      <c r="A45" s="32"/>
      <c r="B45" s="38" t="s">
        <v>45</v>
      </c>
      <c r="C45" s="39"/>
      <c r="D45" s="31">
        <f>D44</f>
        <v>0</v>
      </c>
      <c r="E45" s="31">
        <f>E44</f>
        <v>0</v>
      </c>
      <c r="F45" s="30">
        <f>F44</f>
        <v>0</v>
      </c>
      <c r="G45" s="30">
        <f>G44</f>
        <v>0</v>
      </c>
      <c r="H45" s="31">
        <f>H44</f>
        <v>0</v>
      </c>
    </row>
    <row r="46" spans="1:8" x14ac:dyDescent="0.2">
      <c r="A46" s="32"/>
      <c r="B46" s="38" t="s">
        <v>42</v>
      </c>
      <c r="C46" s="39"/>
      <c r="D46" s="31">
        <f>D45+D42</f>
        <v>631.25152162856853</v>
      </c>
      <c r="E46" s="31">
        <f t="shared" ref="E46:G46" si="4">E45+E42</f>
        <v>260.70594764216366</v>
      </c>
      <c r="F46" s="31">
        <f t="shared" si="4"/>
        <v>1597.288045813586</v>
      </c>
      <c r="G46" s="31">
        <f t="shared" si="4"/>
        <v>5.3370058479532165</v>
      </c>
      <c r="H46" s="31">
        <f>H45+H42</f>
        <v>2494.5825209322716</v>
      </c>
    </row>
    <row r="47" spans="1:8" ht="12.75" customHeight="1" x14ac:dyDescent="0.2">
      <c r="A47" s="40" t="s">
        <v>32</v>
      </c>
      <c r="B47" s="41"/>
      <c r="C47" s="41"/>
      <c r="D47" s="41"/>
      <c r="E47" s="41"/>
      <c r="F47" s="41"/>
      <c r="G47" s="41"/>
      <c r="H47" s="41"/>
    </row>
    <row r="48" spans="1:8" x14ac:dyDescent="0.2">
      <c r="A48" s="27">
        <v>14</v>
      </c>
      <c r="B48" s="34" t="s">
        <v>15</v>
      </c>
      <c r="C48" s="34" t="s">
        <v>69</v>
      </c>
      <c r="D48" s="34"/>
      <c r="E48" s="34"/>
      <c r="F48" s="34"/>
      <c r="G48" s="35">
        <f>472785.93/1000/7.21</f>
        <v>65.573638002773933</v>
      </c>
      <c r="H48" s="31">
        <f t="shared" ref="H48:H50" si="5">G48+F48+E48+D48</f>
        <v>65.573638002773933</v>
      </c>
    </row>
    <row r="49" spans="1:8" x14ac:dyDescent="0.2">
      <c r="A49" s="27">
        <v>15</v>
      </c>
      <c r="B49" s="34" t="s">
        <v>15</v>
      </c>
      <c r="C49" s="34" t="s">
        <v>68</v>
      </c>
      <c r="D49" s="34"/>
      <c r="E49" s="34"/>
      <c r="F49" s="34"/>
      <c r="G49" s="35">
        <f>3743.44/1000/7.21</f>
        <v>0.51920110957004162</v>
      </c>
      <c r="H49" s="31">
        <f t="shared" si="5"/>
        <v>0.51920110957004162</v>
      </c>
    </row>
    <row r="50" spans="1:8" x14ac:dyDescent="0.2">
      <c r="A50" s="27">
        <v>16</v>
      </c>
      <c r="B50" s="34" t="s">
        <v>15</v>
      </c>
      <c r="C50" s="34" t="s">
        <v>70</v>
      </c>
      <c r="D50" s="34"/>
      <c r="E50" s="34"/>
      <c r="F50" s="34"/>
      <c r="G50" s="35">
        <f>9802.88/1000/7.21</f>
        <v>1.359622746185853</v>
      </c>
      <c r="H50" s="31">
        <f t="shared" si="5"/>
        <v>1.359622746185853</v>
      </c>
    </row>
    <row r="51" spans="1:8" x14ac:dyDescent="0.2">
      <c r="A51" s="27">
        <v>17</v>
      </c>
      <c r="B51" s="28" t="s">
        <v>57</v>
      </c>
      <c r="C51" s="29" t="s">
        <v>47</v>
      </c>
      <c r="D51" s="30"/>
      <c r="E51" s="30"/>
      <c r="F51" s="30"/>
      <c r="G51" s="31"/>
      <c r="H51" s="31">
        <f>G51+F51+E51+D51</f>
        <v>0</v>
      </c>
    </row>
    <row r="52" spans="1:8" x14ac:dyDescent="0.2">
      <c r="A52" s="27">
        <v>18</v>
      </c>
      <c r="B52" s="28" t="s">
        <v>57</v>
      </c>
      <c r="C52" s="29" t="s">
        <v>38</v>
      </c>
      <c r="D52" s="30"/>
      <c r="E52" s="30"/>
      <c r="F52" s="30"/>
      <c r="G52" s="31">
        <f>11900*3/1000/1.2/12.54</f>
        <v>2.3724082934609254</v>
      </c>
      <c r="H52" s="31">
        <f>G52+F52+E52+D52</f>
        <v>2.3724082934609254</v>
      </c>
    </row>
    <row r="53" spans="1:8" ht="38.25" x14ac:dyDescent="0.2">
      <c r="A53" s="27">
        <v>19</v>
      </c>
      <c r="B53" s="29" t="s">
        <v>59</v>
      </c>
      <c r="C53" s="29" t="s">
        <v>61</v>
      </c>
      <c r="D53" s="30"/>
      <c r="E53" s="30"/>
      <c r="F53" s="30"/>
      <c r="G53" s="31">
        <f>(D46+E46+F46+G46+H48+H49+H50+H51+H52+H62+H63+H64+H65+H57+H58)/100*6.7</f>
        <v>218.77866365321034</v>
      </c>
      <c r="H53" s="31">
        <f>G53+F53+E53+D53</f>
        <v>218.77866365321034</v>
      </c>
    </row>
    <row r="54" spans="1:8" ht="12.75" customHeight="1" x14ac:dyDescent="0.2">
      <c r="A54" s="32"/>
      <c r="B54" s="38" t="s">
        <v>34</v>
      </c>
      <c r="C54" s="39"/>
      <c r="D54" s="30">
        <f>D52+D50+D51+D53+D49+D48</f>
        <v>0</v>
      </c>
      <c r="E54" s="30">
        <f t="shared" ref="E54:G54" si="6">E52+E50+E51+E53+E49+E48</f>
        <v>0</v>
      </c>
      <c r="F54" s="30">
        <f t="shared" si="6"/>
        <v>0</v>
      </c>
      <c r="G54" s="30">
        <f t="shared" si="6"/>
        <v>288.6035338052011</v>
      </c>
      <c r="H54" s="31">
        <f>D54+E54+F54+G54</f>
        <v>288.6035338052011</v>
      </c>
    </row>
    <row r="55" spans="1:8" ht="12.75" customHeight="1" x14ac:dyDescent="0.2">
      <c r="A55" s="32"/>
      <c r="B55" s="38" t="s">
        <v>17</v>
      </c>
      <c r="C55" s="39"/>
      <c r="D55" s="31">
        <f>D54+D46</f>
        <v>631.25152162856853</v>
      </c>
      <c r="E55" s="31">
        <f>E54+E46</f>
        <v>260.70594764216366</v>
      </c>
      <c r="F55" s="31">
        <f>F54+F46</f>
        <v>1597.288045813586</v>
      </c>
      <c r="G55" s="31">
        <f>G54+G46</f>
        <v>293.9405396531543</v>
      </c>
      <c r="H55" s="31">
        <f>H54+H46</f>
        <v>2783.1860547374727</v>
      </c>
    </row>
    <row r="56" spans="1:8" ht="12.75" customHeight="1" x14ac:dyDescent="0.2">
      <c r="A56" s="40" t="s">
        <v>28</v>
      </c>
      <c r="B56" s="41"/>
      <c r="C56" s="41"/>
      <c r="D56" s="41"/>
      <c r="E56" s="41"/>
      <c r="F56" s="41"/>
      <c r="G56" s="41"/>
      <c r="H56" s="41"/>
    </row>
    <row r="57" spans="1:8" ht="39.75" customHeight="1" x14ac:dyDescent="0.2">
      <c r="A57" s="27">
        <v>20</v>
      </c>
      <c r="B57" s="29" t="s">
        <v>60</v>
      </c>
      <c r="C57" s="29" t="s">
        <v>26</v>
      </c>
      <c r="D57" s="30"/>
      <c r="E57" s="30"/>
      <c r="F57" s="30"/>
      <c r="G57" s="31">
        <f>(D46+E46+F46+G46+H48+H49+H50+H51+H52)/100*2.14</f>
        <v>54.878318169203204</v>
      </c>
      <c r="H57" s="31">
        <f>D57+E57+F57+G57</f>
        <v>54.878318169203204</v>
      </c>
    </row>
    <row r="58" spans="1:8" ht="39.75" customHeight="1" x14ac:dyDescent="0.2">
      <c r="A58" s="18">
        <v>21</v>
      </c>
      <c r="B58" s="19" t="s">
        <v>62</v>
      </c>
      <c r="C58" s="25" t="s">
        <v>27</v>
      </c>
      <c r="D58" s="21"/>
      <c r="E58" s="21"/>
      <c r="F58" s="21"/>
      <c r="G58" s="20">
        <f>(D46+E46+F46+G46+H48+H49+H50+H51+H52+H62+H63+H64)/100*11.7</f>
        <v>319.15976600234603</v>
      </c>
      <c r="H58" s="20">
        <f>D58+E58+F58+G58</f>
        <v>319.15976600234603</v>
      </c>
    </row>
    <row r="59" spans="1:8" ht="12.75" customHeight="1" x14ac:dyDescent="0.2">
      <c r="A59" s="55" t="s">
        <v>31</v>
      </c>
      <c r="B59" s="56"/>
      <c r="C59" s="57"/>
      <c r="D59" s="21">
        <f>D57+D58</f>
        <v>0</v>
      </c>
      <c r="E59" s="21">
        <f t="shared" ref="E59:F59" si="7">E57+E58</f>
        <v>0</v>
      </c>
      <c r="F59" s="21">
        <f t="shared" si="7"/>
        <v>0</v>
      </c>
      <c r="G59" s="21">
        <f>G57+G58</f>
        <v>374.03808417154926</v>
      </c>
      <c r="H59" s="20">
        <f>D59+E59+F59+G59</f>
        <v>374.03808417154926</v>
      </c>
    </row>
    <row r="60" spans="1:8" ht="12.75" customHeight="1" x14ac:dyDescent="0.2">
      <c r="A60" s="22"/>
      <c r="B60" s="53" t="s">
        <v>29</v>
      </c>
      <c r="C60" s="54"/>
      <c r="D60" s="20">
        <f>D55+D59</f>
        <v>631.25152162856853</v>
      </c>
      <c r="E60" s="20">
        <f t="shared" ref="E60:G60" si="8">E55+E59</f>
        <v>260.70594764216366</v>
      </c>
      <c r="F60" s="20">
        <f t="shared" si="8"/>
        <v>1597.288045813586</v>
      </c>
      <c r="G60" s="20">
        <f t="shared" si="8"/>
        <v>667.97862382470362</v>
      </c>
      <c r="H60" s="20">
        <f>H59+H55</f>
        <v>3157.2241389090218</v>
      </c>
    </row>
    <row r="61" spans="1:8" ht="12.75" customHeight="1" x14ac:dyDescent="0.2">
      <c r="A61" s="51" t="s">
        <v>18</v>
      </c>
      <c r="B61" s="52"/>
      <c r="C61" s="52"/>
      <c r="D61" s="52"/>
      <c r="E61" s="52"/>
      <c r="F61" s="52"/>
      <c r="G61" s="52"/>
      <c r="H61" s="52"/>
    </row>
    <row r="62" spans="1:8" ht="12.75" customHeight="1" x14ac:dyDescent="0.2">
      <c r="A62" s="18">
        <v>22</v>
      </c>
      <c r="B62" s="23" t="s">
        <v>15</v>
      </c>
      <c r="C62" s="19" t="s">
        <v>71</v>
      </c>
      <c r="D62" s="21"/>
      <c r="E62" s="21"/>
      <c r="F62" s="21"/>
      <c r="G62" s="20">
        <f>809165.86/1000/1.2/5.54</f>
        <v>121.71568291215404</v>
      </c>
      <c r="H62" s="20">
        <f>G62+F62+E62+D62</f>
        <v>121.71568291215404</v>
      </c>
    </row>
    <row r="63" spans="1:8" ht="12.75" customHeight="1" x14ac:dyDescent="0.2">
      <c r="A63" s="18">
        <v>23</v>
      </c>
      <c r="B63" s="23" t="s">
        <v>15</v>
      </c>
      <c r="C63" s="19" t="s">
        <v>72</v>
      </c>
      <c r="D63" s="21"/>
      <c r="E63" s="21"/>
      <c r="F63" s="21"/>
      <c r="G63" s="20">
        <f>67069.37/1000/1.2/5.54</f>
        <v>10.088653730445246</v>
      </c>
      <c r="H63" s="20">
        <f>G63+F63+E63+D63</f>
        <v>10.088653730445246</v>
      </c>
    </row>
    <row r="64" spans="1:8" ht="12.75" customHeight="1" x14ac:dyDescent="0.2">
      <c r="A64" s="18">
        <v>24</v>
      </c>
      <c r="B64" s="23" t="s">
        <v>15</v>
      </c>
      <c r="C64" s="19" t="s">
        <v>73</v>
      </c>
      <c r="D64" s="21"/>
      <c r="E64" s="21"/>
      <c r="F64" s="21"/>
      <c r="G64" s="20">
        <f>210406.01/1000/1.2/5.54</f>
        <v>31.64952015643803</v>
      </c>
      <c r="H64" s="20">
        <f>G64+F64+E64+D64</f>
        <v>31.64952015643803</v>
      </c>
    </row>
    <row r="65" spans="1:8" ht="12.75" customHeight="1" x14ac:dyDescent="0.2">
      <c r="A65" s="22"/>
      <c r="B65" s="53" t="s">
        <v>20</v>
      </c>
      <c r="C65" s="54"/>
      <c r="D65" s="20">
        <f>D64+D63+D62</f>
        <v>0</v>
      </c>
      <c r="E65" s="20">
        <f t="shared" ref="E65:G65" si="9">E64+E63+E62</f>
        <v>0</v>
      </c>
      <c r="F65" s="20">
        <f t="shared" si="9"/>
        <v>0</v>
      </c>
      <c r="G65" s="20">
        <f t="shared" si="9"/>
        <v>163.45385679903731</v>
      </c>
      <c r="H65" s="20">
        <f>G65+F65+E65+D65</f>
        <v>163.45385679903731</v>
      </c>
    </row>
    <row r="66" spans="1:8" ht="12.75" customHeight="1" x14ac:dyDescent="0.2">
      <c r="A66" s="22"/>
      <c r="B66" s="53" t="s">
        <v>21</v>
      </c>
      <c r="C66" s="54"/>
      <c r="D66" s="20">
        <f>D60+D65</f>
        <v>631.25152162856853</v>
      </c>
      <c r="E66" s="20">
        <f>E60+E65</f>
        <v>260.70594764216366</v>
      </c>
      <c r="F66" s="20">
        <f>F60+F65</f>
        <v>1597.288045813586</v>
      </c>
      <c r="G66" s="20">
        <f>G60+G65</f>
        <v>831.43248062374096</v>
      </c>
      <c r="H66" s="20">
        <f>D66+E66+F66+G66</f>
        <v>3320.6779957080589</v>
      </c>
    </row>
    <row r="67" spans="1:8" ht="12.75" customHeight="1" x14ac:dyDescent="0.2">
      <c r="A67" s="51" t="s">
        <v>22</v>
      </c>
      <c r="B67" s="52"/>
      <c r="C67" s="52"/>
      <c r="D67" s="52"/>
      <c r="E67" s="52"/>
      <c r="F67" s="52"/>
      <c r="G67" s="52"/>
      <c r="H67" s="52"/>
    </row>
    <row r="68" spans="1:8" ht="12.75" customHeight="1" x14ac:dyDescent="0.2">
      <c r="A68" s="18">
        <v>25</v>
      </c>
      <c r="B68" s="23"/>
      <c r="C68" s="19" t="s">
        <v>23</v>
      </c>
      <c r="D68" s="20">
        <f>D66/100*20</f>
        <v>126.25030432571371</v>
      </c>
      <c r="E68" s="20">
        <f>E66/100*20</f>
        <v>52.141189528432733</v>
      </c>
      <c r="F68" s="20">
        <f>F66/100*20</f>
        <v>319.45760916271718</v>
      </c>
      <c r="G68" s="20">
        <f>G66/100*20</f>
        <v>166.2864961247482</v>
      </c>
      <c r="H68" s="20">
        <f>H66/100*20</f>
        <v>664.13559914161181</v>
      </c>
    </row>
    <row r="69" spans="1:8" ht="12.75" customHeight="1" x14ac:dyDescent="0.2">
      <c r="A69" s="22"/>
      <c r="B69" s="53" t="s">
        <v>24</v>
      </c>
      <c r="C69" s="54"/>
      <c r="D69" s="20">
        <f>D68</f>
        <v>126.25030432571371</v>
      </c>
      <c r="E69" s="20">
        <f>E68</f>
        <v>52.141189528432733</v>
      </c>
      <c r="F69" s="21">
        <f>F68</f>
        <v>319.45760916271718</v>
      </c>
      <c r="G69" s="20">
        <f>G68</f>
        <v>166.2864961247482</v>
      </c>
      <c r="H69" s="20">
        <f>D69+E69+F69+G69</f>
        <v>664.13559914161181</v>
      </c>
    </row>
    <row r="70" spans="1:8" ht="12.75" customHeight="1" x14ac:dyDescent="0.2">
      <c r="A70" s="22"/>
      <c r="B70" s="53" t="s">
        <v>25</v>
      </c>
      <c r="C70" s="54"/>
      <c r="D70" s="20">
        <f>D66+D68</f>
        <v>757.50182595428225</v>
      </c>
      <c r="E70" s="20">
        <f>E66+E68</f>
        <v>312.8471371705964</v>
      </c>
      <c r="F70" s="20">
        <f>F66+F68</f>
        <v>1916.7456549763033</v>
      </c>
      <c r="G70" s="20">
        <f>G66+G68</f>
        <v>997.71897674848913</v>
      </c>
      <c r="H70" s="20">
        <f>H66+H68</f>
        <v>3984.8135948496706</v>
      </c>
    </row>
    <row r="71" spans="1:8" ht="12.75" customHeight="1" x14ac:dyDescent="0.2">
      <c r="A71" s="37" t="s">
        <v>51</v>
      </c>
      <c r="B71" s="37"/>
      <c r="C71" s="37"/>
      <c r="D71" s="37"/>
      <c r="E71" s="37"/>
      <c r="F71" s="37"/>
      <c r="G71" s="37"/>
      <c r="H71" s="37"/>
    </row>
    <row r="72" spans="1:8" ht="12.75" customHeight="1" x14ac:dyDescent="0.2">
      <c r="A72" s="37"/>
      <c r="B72" s="37"/>
      <c r="C72" s="37"/>
      <c r="D72" s="37"/>
      <c r="E72" s="37"/>
      <c r="F72" s="37"/>
      <c r="G72" s="37"/>
      <c r="H72" s="37"/>
    </row>
    <row r="73" spans="1:8" ht="12.75" customHeight="1" x14ac:dyDescent="0.2">
      <c r="A73" s="37"/>
      <c r="B73" s="37"/>
      <c r="C73" s="37"/>
      <c r="D73" s="37"/>
      <c r="E73" s="37"/>
      <c r="F73" s="37"/>
      <c r="G73" s="37"/>
      <c r="H73" s="37"/>
    </row>
    <row r="74" spans="1:8" ht="12.75" customHeight="1" x14ac:dyDescent="0.2">
      <c r="A74" s="37"/>
      <c r="B74" s="37"/>
      <c r="C74" s="37"/>
      <c r="D74" s="37"/>
      <c r="E74" s="37"/>
      <c r="F74" s="37"/>
      <c r="G74" s="37"/>
      <c r="H74" s="37"/>
    </row>
    <row r="75" spans="1:8" ht="12.75" customHeight="1" x14ac:dyDescent="0.2">
      <c r="A75" s="37"/>
      <c r="B75" s="37"/>
      <c r="C75" s="37"/>
      <c r="D75" s="37"/>
      <c r="E75" s="37"/>
      <c r="F75" s="37"/>
      <c r="G75" s="37"/>
      <c r="H75" s="37"/>
    </row>
    <row r="76" spans="1:8" ht="12.75" customHeight="1" x14ac:dyDescent="0.2">
      <c r="A76" s="37"/>
      <c r="B76" s="37"/>
      <c r="C76" s="37"/>
      <c r="D76" s="37"/>
      <c r="E76" s="37"/>
      <c r="F76" s="37"/>
      <c r="G76" s="37"/>
      <c r="H76" s="37"/>
    </row>
    <row r="77" spans="1:8" ht="12.75" customHeight="1" x14ac:dyDescent="0.2">
      <c r="A77" s="37"/>
      <c r="B77" s="37"/>
      <c r="C77" s="37"/>
      <c r="D77" s="37"/>
      <c r="E77" s="37"/>
      <c r="F77" s="37"/>
      <c r="G77" s="37"/>
      <c r="H77" s="37"/>
    </row>
    <row r="78" spans="1:8" ht="12.75" customHeight="1" x14ac:dyDescent="0.2">
      <c r="A78" s="37"/>
      <c r="B78" s="37"/>
      <c r="C78" s="37"/>
      <c r="D78" s="37"/>
      <c r="E78" s="37"/>
      <c r="F78" s="37"/>
      <c r="G78" s="37"/>
      <c r="H78" s="37"/>
    </row>
    <row r="79" spans="1:8" ht="12.75" customHeight="1" x14ac:dyDescent="0.2">
      <c r="A79" s="37"/>
      <c r="B79" s="37"/>
      <c r="C79" s="37"/>
      <c r="D79" s="37"/>
      <c r="E79" s="37"/>
      <c r="F79" s="37"/>
      <c r="G79" s="37"/>
      <c r="H79" s="37"/>
    </row>
    <row r="80" spans="1:8" ht="12.75" customHeight="1" x14ac:dyDescent="0.2">
      <c r="A80" s="37"/>
      <c r="B80" s="37"/>
      <c r="C80" s="37"/>
      <c r="D80" s="37"/>
      <c r="E80" s="37"/>
      <c r="F80" s="37"/>
      <c r="G80" s="37"/>
      <c r="H80" s="37"/>
    </row>
    <row r="81" spans="1:8" ht="12.75" customHeight="1" x14ac:dyDescent="0.2">
      <c r="A81" s="37"/>
      <c r="B81" s="37"/>
      <c r="C81" s="37"/>
      <c r="D81" s="37"/>
      <c r="E81" s="37"/>
      <c r="F81" s="37"/>
      <c r="G81" s="37"/>
      <c r="H81" s="37"/>
    </row>
  </sheetData>
  <mergeCells count="38">
    <mergeCell ref="B46:C46"/>
    <mergeCell ref="A47:H47"/>
    <mergeCell ref="A39:H39"/>
    <mergeCell ref="B41:C41"/>
    <mergeCell ref="B42:C42"/>
    <mergeCell ref="A43:H43"/>
    <mergeCell ref="B45:C45"/>
    <mergeCell ref="A23:H23"/>
    <mergeCell ref="B32:C32"/>
    <mergeCell ref="A33:H33"/>
    <mergeCell ref="B37:C37"/>
    <mergeCell ref="B38:C38"/>
    <mergeCell ref="A18:A21"/>
    <mergeCell ref="B70:C70"/>
    <mergeCell ref="A67:H67"/>
    <mergeCell ref="B69:C69"/>
    <mergeCell ref="A59:C59"/>
    <mergeCell ref="B60:C60"/>
    <mergeCell ref="A61:H61"/>
    <mergeCell ref="B54:C54"/>
    <mergeCell ref="B18:B21"/>
    <mergeCell ref="C18:C21"/>
    <mergeCell ref="D18:G18"/>
    <mergeCell ref="H18:H21"/>
    <mergeCell ref="D19:D21"/>
    <mergeCell ref="E19:E21"/>
    <mergeCell ref="F19:F21"/>
    <mergeCell ref="G19:G21"/>
    <mergeCell ref="C2:G2"/>
    <mergeCell ref="C8:G8"/>
    <mergeCell ref="C14:G14"/>
    <mergeCell ref="B6:C6"/>
    <mergeCell ref="B7:C7"/>
    <mergeCell ref="B65:C65"/>
    <mergeCell ref="B66:C66"/>
    <mergeCell ref="A71:H81"/>
    <mergeCell ref="B55:C55"/>
    <mergeCell ref="A56:H56"/>
  </mergeCells>
  <pageMargins left="0.23622047244094491" right="0.23622047244094491" top="0.74803149606299213" bottom="0.74803149606299213" header="0.31496062992125984" footer="0.31496062992125984"/>
  <pageSetup paperSize="9" scale="6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2023-11-27T14:23:59Z</dcterms:modified>
</cp:coreProperties>
</file>