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ИЮЛЬ\РАСКРЫТИЕ\Карты-схемы_Формы_20_Обоснование_стоимости\M_22-1-17-01-08-00-0-0006\"/>
    </mc:Choice>
  </mc:AlternateContent>
  <xr:revisionPtr revIDLastSave="0" documentId="13_ncr:1_{656A73BC-48F9-43AD-A825-BD6F54D71B62}" xr6:coauthVersionLast="36" xr6:coauthVersionMax="36" xr10:uidLastSave="{00000000-0000-0000-0000-000000000000}"/>
  <bookViews>
    <workbookView xWindow="0" yWindow="0" windowWidth="28800" windowHeight="1240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4" l="1"/>
  <c r="D20" i="4"/>
  <c r="D19" i="4"/>
  <c r="E18" i="4"/>
  <c r="F18" i="4" s="1"/>
  <c r="H18" i="4" s="1"/>
  <c r="F20" i="4" l="1"/>
  <c r="H20" i="4" s="1"/>
  <c r="H24" i="4" s="1"/>
  <c r="E19" i="4"/>
  <c r="F19" i="4" s="1"/>
  <c r="H19" i="4" s="1"/>
  <c r="D287" i="5" l="1"/>
  <c r="D286" i="5"/>
  <c r="C33" i="4" l="1"/>
  <c r="E33" i="4" s="1"/>
  <c r="F33" i="4" s="1"/>
  <c r="G33" i="4" s="1"/>
  <c r="H33" i="4" s="1"/>
  <c r="I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E17" i="4" s="1"/>
  <c r="F17" i="4" s="1"/>
  <c r="H17" i="4" s="1"/>
  <c r="H23" i="4" s="1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F16" i="4" s="1"/>
  <c r="H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C32" i="4" l="1"/>
  <c r="H22" i="4" l="1"/>
  <c r="H25" i="4" s="1"/>
  <c r="E32" i="4"/>
  <c r="F32" i="4" s="1"/>
  <c r="G32" i="4" s="1"/>
  <c r="H32" i="4" s="1"/>
  <c r="I32" i="4" s="1"/>
  <c r="H26" i="4" l="1"/>
  <c r="C31" i="4" l="1"/>
  <c r="C35" i="4" s="1"/>
  <c r="E35" i="4" l="1"/>
  <c r="F35" i="4" s="1"/>
  <c r="G35" i="4" s="1"/>
  <c r="H35" i="4" s="1"/>
  <c r="E31" i="4"/>
  <c r="F31" i="4" s="1"/>
  <c r="C36" i="4"/>
  <c r="E36" i="4" s="1"/>
  <c r="F36" i="4" s="1"/>
  <c r="G36" i="4" s="1"/>
  <c r="H36" i="4" s="1"/>
  <c r="C37" i="4"/>
  <c r="C39" i="4"/>
  <c r="C38" i="4"/>
  <c r="E38" i="4" s="1"/>
  <c r="F38" i="4" s="1"/>
  <c r="I26" i="4"/>
  <c r="C34" i="4" l="1"/>
  <c r="G31" i="4"/>
  <c r="H31" i="4" s="1"/>
  <c r="I31" i="4" s="1"/>
  <c r="G38" i="4"/>
  <c r="H38" i="4" s="1"/>
  <c r="E37" i="4" l="1"/>
  <c r="F37" i="4" s="1"/>
  <c r="E39" i="4"/>
  <c r="G37" i="4" l="1"/>
  <c r="H37" i="4" s="1"/>
  <c r="E34" i="4"/>
  <c r="E40" i="4" s="1"/>
  <c r="C40" i="4"/>
  <c r="F39" i="4"/>
  <c r="G39" i="4" s="1"/>
  <c r="H39" i="4" s="1"/>
  <c r="F34" i="4" l="1"/>
  <c r="G34" i="4" l="1"/>
  <c r="H34" i="4" s="1"/>
  <c r="I34" i="4" s="1"/>
  <c r="F40" i="4"/>
  <c r="G40" i="4" l="1"/>
  <c r="H40" i="4" s="1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<sst xmlns="http://schemas.openxmlformats.org/spreadsheetml/2006/main" count="690" uniqueCount="381">
  <si>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</si>
  <si>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</si>
  <si>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</si>
  <si>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</si>
  <si>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</si>
  <si>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</si>
  <si>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</si>
  <si>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</si>
  <si>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</si>
  <si>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</si>
  <si>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</si>
  <si>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</si>
  <si>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</si>
  <si>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</si>
  <si>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</si>
  <si>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</si>
  <si>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</si>
  <si>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</si>
  <si>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</si>
  <si>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</si>
  <si>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</si>
  <si>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</si>
  <si>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</si>
  <si>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</si>
  <si>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</si>
  <si>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</si>
  <si>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</si>
  <si>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</si>
  <si>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</si>
  <si>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</si>
  <si>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</si>
  <si>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</si>
  <si>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</si>
  <si>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</si>
  <si>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</si>
  <si>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</si>
  <si>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</si>
  <si>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</si>
  <si>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</si>
  <si>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</si>
  <si>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</si>
  <si>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</si>
  <si>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</si>
  <si>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</si>
  <si>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</si>
  <si>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</si>
  <si>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</si>
  <si>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</si>
  <si>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</si>
  <si>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</si>
  <si>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</si>
  <si>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</si>
  <si>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</si>
  <si>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</si>
  <si>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</si>
  <si>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</si>
  <si>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</si>
  <si>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</si>
  <si>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</si>
  <si>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</si>
  <si>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</si>
  <si>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</si>
  <si>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</si>
  <si>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</si>
  <si>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</si>
  <si>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</si>
  <si>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</si>
  <si>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</si>
  <si>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</si>
  <si>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</si>
  <si>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</si>
  <si>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</si>
  <si>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</si>
  <si>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</si>
  <si>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</si>
  <si>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</si>
  <si>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</si>
  <si>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</si>
  <si>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</si>
  <si>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</si>
  <si>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</si>
  <si>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</si>
  <si>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</si>
  <si>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</si>
  <si>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</si>
  <si>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</si>
  <si>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</si>
  <si>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</si>
  <si>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</si>
  <si>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</si>
  <si>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</si>
  <si>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</si>
  <si>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</si>
  <si>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</si>
  <si>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</si>
  <si>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</si>
  <si>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</si>
  <si>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</si>
  <si>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</si>
  <si>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</si>
  <si>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</si>
  <si>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</si>
  <si>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</si>
  <si>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</si>
  <si>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</si>
  <si>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</si>
  <si>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</si>
  <si>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</si>
  <si>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</si>
  <si>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</si>
  <si>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</si>
  <si>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</si>
  <si>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</si>
  <si>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</si>
  <si>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</si>
  <si>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</si>
  <si>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</si>
  <si>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</si>
  <si>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</si>
  <si>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</si>
  <si>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</si>
  <si>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</si>
  <si>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</si>
  <si>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</si>
  <si>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</si>
  <si>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</si>
  <si>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</si>
  <si>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</si>
  <si>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</si>
  <si>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</si>
  <si>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</si>
  <si>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</si>
  <si>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</si>
  <si>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</si>
  <si>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</si>
  <si>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</si>
  <si>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</si>
  <si>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</si>
  <si>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</si>
  <si>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</si>
  <si>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</si>
  <si>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</si>
  <si>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</si>
  <si>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</si>
  <si>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</si>
  <si>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</si>
  <si>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</si>
  <si>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</si>
  <si>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</si>
  <si>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</si>
  <si>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</si>
  <si>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</si>
  <si>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</si>
  <si>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</si>
  <si>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</si>
  <si>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</si>
  <si>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</si>
  <si>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</si>
  <si>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</si>
  <si>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</si>
  <si>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</si>
  <si>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</si>
  <si>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</si>
  <si>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</si>
  <si>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</si>
  <si>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</si>
  <si>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</si>
  <si>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</si>
  <si>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</si>
  <si>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</si>
  <si>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</si>
  <si>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</si>
  <si>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</si>
  <si>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</si>
  <si>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</si>
  <si>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</si>
  <si>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</si>
  <si>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</si>
  <si>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</si>
  <si>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</si>
  <si>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</si>
  <si>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</si>
  <si>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</si>
  <si>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</si>
  <si>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</si>
  <si>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</si>
  <si>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</si>
  <si>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</si>
  <si>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</si>
  <si>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</si>
  <si>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</si>
  <si>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</si>
  <si>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</si>
  <si>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</si>
  <si>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</si>
  <si>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</si>
  <si>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</si>
  <si>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</si>
  <si>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</si>
  <si>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</si>
  <si>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</si>
  <si>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</si>
  <si>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</si>
  <si>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</si>
  <si>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</si>
  <si>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</si>
  <si>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</si>
  <si>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</si>
  <si>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</si>
  <si>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</si>
  <si>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</si>
  <si>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</si>
  <si>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</si>
  <si>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</si>
  <si>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</si>
  <si>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</si>
  <si>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</si>
  <si>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</si>
  <si>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</si>
  <si>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</si>
  <si>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</si>
  <si>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</si>
  <si>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</si>
  <si>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</si>
  <si>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</si>
  <si>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</si>
  <si>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</si>
  <si>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</si>
  <si>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</si>
  <si>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</si>
  <si>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</si>
  <si>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</si>
  <si>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</si>
  <si>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</si>
  <si>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</si>
  <si>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</si>
  <si>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</si>
  <si>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</si>
  <si>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</si>
  <si>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</si>
  <si>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</si>
  <si>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</si>
  <si>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</si>
  <si>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</si>
  <si>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</si>
  <si>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</si>
  <si>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</si>
  <si>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</si>
  <si>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</si>
  <si>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</si>
  <si>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</si>
  <si>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</si>
  <si>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</si>
  <si>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</si>
  <si>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</si>
  <si>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</si>
  <si>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</si>
  <si>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</si>
  <si>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</si>
  <si>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</si>
  <si>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</si>
  <si>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</si>
  <si>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</si>
  <si>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</si>
  <si>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</si>
  <si>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</si>
  <si>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</si>
  <si>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</si>
  <si>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</si>
  <si>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</si>
  <si>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</si>
  <si>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</si>
  <si>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</si>
  <si>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</si>
  <si>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</si>
  <si>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</si>
  <si>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</si>
  <si>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</si>
  <si>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</si>
  <si>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</si>
  <si>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</si>
  <si>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</si>
  <si>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</si>
  <si>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</si>
  <si>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</si>
  <si>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</si>
  <si>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</si>
  <si>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</si>
  <si>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</si>
  <si>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</si>
  <si>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</si>
  <si>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</si>
  <si>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</si>
  <si>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</si>
  <si>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</si>
  <si>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</si>
  <si>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</si>
  <si>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</si>
  <si>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</si>
  <si>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</si>
  <si>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</si>
  <si>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</si>
  <si>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</si>
  <si>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</si>
  <si>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</si>
  <si>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</si>
  <si>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</si>
  <si>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</si>
  <si>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</si>
  <si>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</si>
  <si>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</si>
  <si>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</si>
  <si>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</si>
  <si>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</si>
  <si>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</si>
  <si>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</si>
  <si>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</si>
  <si>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</si>
  <si>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</si>
  <si>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</si>
  <si>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</si>
  <si>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</si>
  <si>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</si>
  <si>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</si>
  <si>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</si>
  <si>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</si>
  <si>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</si>
  <si>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</si>
  <si>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</si>
  <si>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</si>
  <si>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</si>
  <si>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</si>
  <si>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</si>
  <si>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</si>
  <si>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</si>
  <si>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</si>
  <si>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</si>
  <si>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</si>
  <si>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</si>
  <si>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</si>
  <si>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</si>
  <si>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</si>
  <si>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</si>
  <si>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</si>
  <si>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</si>
  <si>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</si>
  <si>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</si>
  <si>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</si>
  <si>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</si>
  <si>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</si>
  <si>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</si>
  <si>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</si>
  <si>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</si>
  <si>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</si>
  <si>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</si>
  <si>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</si>
  <si>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</si>
  <si>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</si>
  <si>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</si>
  <si>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</si>
  <si>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</si>
  <si>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</si>
  <si>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</si>
  <si>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</si>
  <si>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</si>
  <si>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</si>
  <si>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</si>
  <si>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</si>
  <si>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</si>
  <si>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</si>
  <si>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</si>
  <si>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</si>
  <si>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</si>
  <si>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</si>
  <si>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</si>
  <si>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M_22-1-17-01-08-00-0-0006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</si>
  <si>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</si>
  <si>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</si>
  <si>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</si>
  <si>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</si>
  <si>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Строительство 2БКТП-10/0,4 кВ мощностью 9,6 МВА, КЛ-10/0,4 кВ протяженностью 14,4 км для технологического присоединения заявителя в соответствии с договором №17-081/005-ПС-18 в г. Мурино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</si>
</sst>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 refreshError="1"/>
      <sheetData sheetId="1" refreshError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6" customWidth="1"/>
    <col min="2" max="2" width="60.42578125" style="57" customWidth="1"/>
    <col min="3" max="3" width="14.85546875" style="57" customWidth="1"/>
    <col min="4" max="4" width="10.5703125" style="57" customWidth="1"/>
    <col min="5" max="5" width="14.285156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0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hidden="1" customWidth="1"/>
    <col min="16" max="20" width="0" style="57" hidden="1" customWidth="1"/>
    <col min="21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33.75" customHeight="1" x14ac:dyDescent="0.25">
      <c r="A5" s="107" t="s">
        <v>380</v>
      </c>
      <c r="B5" s="108"/>
      <c r="C5" s="108"/>
      <c r="D5" s="108"/>
      <c r="E5" s="108"/>
      <c r="F5" s="108"/>
    </row>
    <row r="7" spans="1:16" ht="21" customHeight="1" x14ac:dyDescent="0.25">
      <c r="A7" s="59" t="s">
        <v>8</v>
      </c>
      <c r="F7" s="109" t="s">
        <v>375</v>
      </c>
      <c r="G7" s="109"/>
      <c r="H7" s="109"/>
    </row>
    <row r="8" spans="1:16" x14ac:dyDescent="0.25">
      <c r="A8" s="60"/>
    </row>
    <row r="9" spans="1:16" x14ac:dyDescent="0.25">
      <c r="A9" s="59" t="s">
        <v>15</v>
      </c>
      <c r="F9" s="109" t="s">
        <v>335</v>
      </c>
      <c r="G9" s="109"/>
      <c r="H9" s="109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379</v>
      </c>
    </row>
    <row r="13" spans="1:16" s="56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43</v>
      </c>
      <c r="F13" s="105" t="s">
        <v>14</v>
      </c>
      <c r="G13" s="105" t="s">
        <v>27</v>
      </c>
      <c r="H13" s="105" t="s">
        <v>42</v>
      </c>
      <c r="I13" s="64"/>
      <c r="J13" s="65"/>
      <c r="K13" s="66">
        <v>7.46</v>
      </c>
    </row>
    <row r="14" spans="1:16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174</v>
      </c>
      <c r="C16" s="78" t="s">
        <v>327</v>
      </c>
      <c r="D16" s="79">
        <v>5.4</v>
      </c>
      <c r="E16" s="79">
        <f>VLOOKUP(B16,'Типовые 2 кв. 2021'!B:D,3,)</f>
        <v>1235355.8666666667</v>
      </c>
      <c r="F16" s="79">
        <f t="shared" ref="F16:F17" si="0">D16*E16</f>
        <v>6670921.6800000006</v>
      </c>
      <c r="G16" s="80">
        <v>5.62</v>
      </c>
      <c r="H16" s="79">
        <f t="shared" ref="H16:H17" si="1">F16*G16</f>
        <v>37490579.841600001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355</v>
      </c>
      <c r="B17" s="77" t="s">
        <v>231</v>
      </c>
      <c r="C17" s="78" t="s">
        <v>327</v>
      </c>
      <c r="D17" s="79">
        <v>1.8</v>
      </c>
      <c r="E17" s="79">
        <f>VLOOKUP(B17,'Типовые 2 кв. 2021'!B:D,3,)</f>
        <v>1920858.6083333334</v>
      </c>
      <c r="F17" s="79">
        <f t="shared" si="0"/>
        <v>3457545.4950000001</v>
      </c>
      <c r="G17" s="80">
        <v>5.62</v>
      </c>
      <c r="H17" s="79">
        <f t="shared" si="1"/>
        <v>19431405.681900002</v>
      </c>
      <c r="J17" s="81"/>
      <c r="K17" s="81"/>
      <c r="M17" s="67"/>
      <c r="N17" s="68"/>
      <c r="O17" s="74"/>
      <c r="P17" s="75"/>
    </row>
    <row r="18" spans="1:16" ht="15.75" x14ac:dyDescent="0.25">
      <c r="A18" s="82" t="s">
        <v>373</v>
      </c>
      <c r="B18" s="83" t="s">
        <v>272</v>
      </c>
      <c r="C18" s="78" t="s">
        <v>353</v>
      </c>
      <c r="D18" s="79">
        <v>3</v>
      </c>
      <c r="E18" s="79">
        <f>VLOOKUP(B18,'[2]Типовые 2 кв. 2021'!B:D,3,)</f>
        <v>2963505.8666666667</v>
      </c>
      <c r="F18" s="79">
        <f t="shared" ref="F18:F20" si="2">D18*E18</f>
        <v>8890517.5999999996</v>
      </c>
      <c r="G18" s="80">
        <v>7.46</v>
      </c>
      <c r="H18" s="79">
        <f t="shared" ref="H18:H20" si="3">F18*G18</f>
        <v>66323261.295999996</v>
      </c>
      <c r="M18" s="67"/>
      <c r="N18" s="68"/>
      <c r="O18" s="74"/>
      <c r="P18" s="75"/>
    </row>
    <row r="19" spans="1:16" ht="15.75" x14ac:dyDescent="0.25">
      <c r="A19" s="82"/>
      <c r="B19" s="84" t="s">
        <v>2</v>
      </c>
      <c r="C19" s="78" t="s">
        <v>353</v>
      </c>
      <c r="D19" s="79">
        <f>D18</f>
        <v>3</v>
      </c>
      <c r="E19" s="79">
        <f>E18-E20</f>
        <v>555232.49666666659</v>
      </c>
      <c r="F19" s="79">
        <f t="shared" si="2"/>
        <v>1665697.4899999998</v>
      </c>
      <c r="G19" s="80">
        <v>7.46</v>
      </c>
      <c r="H19" s="79">
        <f t="shared" si="3"/>
        <v>12426103.275399998</v>
      </c>
      <c r="M19" s="67"/>
      <c r="N19" s="68"/>
      <c r="O19" s="74"/>
      <c r="P19" s="75"/>
    </row>
    <row r="20" spans="1:16" ht="15.75" x14ac:dyDescent="0.25">
      <c r="A20" s="82"/>
      <c r="B20" s="84" t="s">
        <v>3</v>
      </c>
      <c r="C20" s="78" t="s">
        <v>353</v>
      </c>
      <c r="D20" s="79">
        <f>D18</f>
        <v>3</v>
      </c>
      <c r="E20" s="85">
        <f>VLOOKUP(B18,'[2]Типовые 2 кв. 2021'!B:E,4,)</f>
        <v>2408273.37</v>
      </c>
      <c r="F20" s="79">
        <f t="shared" si="2"/>
        <v>7224820.1100000003</v>
      </c>
      <c r="G20" s="80">
        <v>7.46</v>
      </c>
      <c r="H20" s="79">
        <f t="shared" si="3"/>
        <v>53897158.020599999</v>
      </c>
      <c r="M20" s="67"/>
      <c r="N20" s="68"/>
      <c r="O20" s="74"/>
      <c r="P20" s="75"/>
    </row>
    <row r="21" spans="1:16" x14ac:dyDescent="0.25">
      <c r="A21" s="82"/>
      <c r="B21" s="72"/>
      <c r="C21" s="78"/>
      <c r="D21" s="80"/>
      <c r="E21" s="80"/>
      <c r="F21" s="80"/>
      <c r="G21" s="80"/>
      <c r="H21" s="80"/>
    </row>
    <row r="22" spans="1:16" x14ac:dyDescent="0.25">
      <c r="A22" s="82"/>
      <c r="B22" s="71" t="s">
        <v>12</v>
      </c>
      <c r="C22" s="78"/>
      <c r="D22" s="80"/>
      <c r="E22" s="80"/>
      <c r="F22" s="80"/>
      <c r="G22" s="80"/>
      <c r="H22" s="80">
        <f>SUM(H23:H24)</f>
        <v>123245246.8195</v>
      </c>
    </row>
    <row r="23" spans="1:16" x14ac:dyDescent="0.25">
      <c r="A23" s="82"/>
      <c r="B23" s="86" t="s">
        <v>2</v>
      </c>
      <c r="C23" s="78"/>
      <c r="D23" s="80"/>
      <c r="E23" s="80"/>
      <c r="F23" s="80"/>
      <c r="G23" s="80"/>
      <c r="H23" s="80">
        <f>H16+H17+H19</f>
        <v>69348088.798900008</v>
      </c>
    </row>
    <row r="24" spans="1:16" x14ac:dyDescent="0.25">
      <c r="A24" s="82"/>
      <c r="B24" s="86" t="s">
        <v>3</v>
      </c>
      <c r="C24" s="78"/>
      <c r="D24" s="80"/>
      <c r="E24" s="80"/>
      <c r="F24" s="80"/>
      <c r="G24" s="80"/>
      <c r="H24" s="80">
        <f>H20</f>
        <v>53897158.020599999</v>
      </c>
    </row>
    <row r="25" spans="1:16" x14ac:dyDescent="0.25">
      <c r="A25" s="70" t="s">
        <v>24</v>
      </c>
      <c r="B25" s="71" t="s">
        <v>31</v>
      </c>
      <c r="C25" s="78"/>
      <c r="D25" s="80"/>
      <c r="E25" s="80"/>
      <c r="F25" s="80"/>
      <c r="G25" s="80"/>
      <c r="H25" s="80">
        <f>H22*0.08</f>
        <v>9859619.7455599997</v>
      </c>
    </row>
    <row r="26" spans="1:16" x14ac:dyDescent="0.25">
      <c r="A26" s="70" t="s">
        <v>26</v>
      </c>
      <c r="B26" s="71" t="s">
        <v>25</v>
      </c>
      <c r="C26" s="78"/>
      <c r="D26" s="80"/>
      <c r="E26" s="80"/>
      <c r="F26" s="80"/>
      <c r="G26" s="80"/>
      <c r="H26" s="87">
        <f>H25+H22</f>
        <v>133104866.56506</v>
      </c>
      <c r="I26" s="88">
        <f>H26-(SUM(C31:C33))</f>
        <v>0</v>
      </c>
    </row>
    <row r="27" spans="1:16" x14ac:dyDescent="0.25">
      <c r="A27" s="89"/>
      <c r="B27" s="55"/>
      <c r="C27" s="55"/>
    </row>
    <row r="28" spans="1:16" x14ac:dyDescent="0.25">
      <c r="A28" s="62" t="s">
        <v>13</v>
      </c>
      <c r="B28" s="55"/>
      <c r="C28" s="55"/>
    </row>
    <row r="29" spans="1:16" x14ac:dyDescent="0.25">
      <c r="A29" s="90"/>
      <c r="B29" s="55"/>
      <c r="C29" s="55"/>
      <c r="H29" s="63" t="s">
        <v>379</v>
      </c>
    </row>
    <row r="30" spans="1:16" ht="63.75" customHeight="1" x14ac:dyDescent="0.25">
      <c r="A30" s="91" t="s">
        <v>9</v>
      </c>
      <c r="B30" s="91" t="s">
        <v>0</v>
      </c>
      <c r="C30" s="92" t="s">
        <v>44</v>
      </c>
      <c r="D30" s="91" t="s">
        <v>40</v>
      </c>
      <c r="E30" s="91" t="s">
        <v>16</v>
      </c>
      <c r="F30" s="91" t="s">
        <v>17</v>
      </c>
      <c r="G30" s="91" t="s">
        <v>18</v>
      </c>
      <c r="H30" s="91" t="s">
        <v>374</v>
      </c>
    </row>
    <row r="31" spans="1:16" ht="15.75" x14ac:dyDescent="0.25">
      <c r="A31" s="93">
        <v>1</v>
      </c>
      <c r="B31" s="86" t="s">
        <v>1</v>
      </c>
      <c r="C31" s="94">
        <f>H25</f>
        <v>9859619.7455599997</v>
      </c>
      <c r="D31" s="95">
        <v>1.076406</v>
      </c>
      <c r="E31" s="54">
        <f>C31*D31</f>
        <v>10612953.851839257</v>
      </c>
      <c r="F31" s="54">
        <f>E31*0.2</f>
        <v>2122590.7703678515</v>
      </c>
      <c r="G31" s="54">
        <f>E31+F31</f>
        <v>12735544.622207109</v>
      </c>
      <c r="H31" s="79">
        <f t="shared" ref="H31:H39" si="4">G31*0.65</f>
        <v>8278104.004434621</v>
      </c>
      <c r="I31" s="67">
        <f>H31/1000/1.2</f>
        <v>6898.4200036955181</v>
      </c>
      <c r="J31" s="68"/>
      <c r="K31" s="74"/>
      <c r="L31" s="96"/>
    </row>
    <row r="32" spans="1:16" ht="15.75" x14ac:dyDescent="0.25">
      <c r="A32" s="93">
        <v>2</v>
      </c>
      <c r="B32" s="86" t="s">
        <v>2</v>
      </c>
      <c r="C32" s="97">
        <f>H23</f>
        <v>69348088.798900008</v>
      </c>
      <c r="D32" s="95">
        <v>1.076406</v>
      </c>
      <c r="E32" s="54">
        <f t="shared" ref="E32:E39" si="5">C32*D32</f>
        <v>74646698.871668756</v>
      </c>
      <c r="F32" s="54">
        <f t="shared" ref="F32:F39" si="6">E32*0.2</f>
        <v>14929339.774333753</v>
      </c>
      <c r="G32" s="54">
        <f t="shared" ref="G32:G39" si="7">E32+F32</f>
        <v>89576038.646002501</v>
      </c>
      <c r="H32" s="79">
        <f t="shared" si="4"/>
        <v>58224425.119901627</v>
      </c>
      <c r="I32" s="67">
        <f t="shared" ref="I32:I34" si="8">H32/1000/1.2</f>
        <v>48520.354266584691</v>
      </c>
      <c r="J32" s="68"/>
      <c r="K32" s="74"/>
      <c r="L32" s="96"/>
    </row>
    <row r="33" spans="1:12" ht="15.75" x14ac:dyDescent="0.25">
      <c r="A33" s="93">
        <v>3</v>
      </c>
      <c r="B33" s="86" t="s">
        <v>3</v>
      </c>
      <c r="C33" s="97">
        <f>H24</f>
        <v>53897158.020599999</v>
      </c>
      <c r="D33" s="95">
        <v>1.076406</v>
      </c>
      <c r="E33" s="54">
        <f t="shared" si="5"/>
        <v>58015224.276321962</v>
      </c>
      <c r="F33" s="54">
        <f t="shared" si="6"/>
        <v>11603044.855264394</v>
      </c>
      <c r="G33" s="54">
        <f t="shared" si="7"/>
        <v>69618269.131586358</v>
      </c>
      <c r="H33" s="79">
        <f t="shared" si="4"/>
        <v>45251874.935531132</v>
      </c>
      <c r="I33" s="67">
        <f t="shared" si="8"/>
        <v>37709.89577960928</v>
      </c>
      <c r="J33" s="68"/>
      <c r="K33" s="74"/>
      <c r="L33" s="96"/>
    </row>
    <row r="34" spans="1:12" ht="15.75" x14ac:dyDescent="0.25">
      <c r="A34" s="93">
        <v>4</v>
      </c>
      <c r="B34" s="86" t="s">
        <v>7</v>
      </c>
      <c r="C34" s="97">
        <f>SUM(C35:C39)</f>
        <v>22055476.389830448</v>
      </c>
      <c r="D34" s="95">
        <v>1.076406</v>
      </c>
      <c r="E34" s="54">
        <f t="shared" si="5"/>
        <v>23740647.118871834</v>
      </c>
      <c r="F34" s="54">
        <f t="shared" si="6"/>
        <v>4748129.4237743672</v>
      </c>
      <c r="G34" s="54">
        <f t="shared" si="7"/>
        <v>28488776.542646199</v>
      </c>
      <c r="H34" s="79">
        <f t="shared" si="4"/>
        <v>18517704.752720032</v>
      </c>
      <c r="I34" s="67">
        <f t="shared" si="8"/>
        <v>15431.420627266692</v>
      </c>
      <c r="J34" s="68"/>
      <c r="K34" s="74"/>
      <c r="L34" s="96"/>
    </row>
    <row r="35" spans="1:12" ht="15.75" x14ac:dyDescent="0.25">
      <c r="A35" s="76" t="s">
        <v>356</v>
      </c>
      <c r="B35" s="86" t="s">
        <v>4</v>
      </c>
      <c r="C35" s="97">
        <f>SUM(C31:C33)*I35</f>
        <v>1291117.2056810823</v>
      </c>
      <c r="D35" s="95">
        <v>1.076406</v>
      </c>
      <c r="E35" s="54">
        <f t="shared" si="5"/>
        <v>1389766.3068983511</v>
      </c>
      <c r="F35" s="54">
        <f t="shared" si="6"/>
        <v>277953.26137967024</v>
      </c>
      <c r="G35" s="54">
        <f t="shared" si="7"/>
        <v>1667719.5682780212</v>
      </c>
      <c r="H35" s="79">
        <f t="shared" si="4"/>
        <v>1084017.7193807138</v>
      </c>
      <c r="I35" s="98">
        <v>9.7000000000000003E-3</v>
      </c>
      <c r="J35" s="68"/>
      <c r="K35" s="74"/>
      <c r="L35" s="96"/>
    </row>
    <row r="36" spans="1:12" ht="15.75" x14ac:dyDescent="0.25">
      <c r="A36" s="76" t="s">
        <v>357</v>
      </c>
      <c r="B36" s="99" t="s">
        <v>38</v>
      </c>
      <c r="C36" s="97">
        <f>SUM(C31:C33)*I36</f>
        <v>2848444.1444922844</v>
      </c>
      <c r="D36" s="95">
        <v>1.076406</v>
      </c>
      <c r="E36" s="54">
        <f t="shared" si="5"/>
        <v>3066082.3677963619</v>
      </c>
      <c r="F36" s="54">
        <f t="shared" si="6"/>
        <v>613216.47355927236</v>
      </c>
      <c r="G36" s="54">
        <f t="shared" si="7"/>
        <v>3679298.8413556344</v>
      </c>
      <c r="H36" s="79">
        <f t="shared" si="4"/>
        <v>2391544.2468811623</v>
      </c>
      <c r="I36" s="98">
        <v>2.1399999999999999E-2</v>
      </c>
      <c r="J36" s="68"/>
      <c r="K36" s="74"/>
      <c r="L36" s="96"/>
    </row>
    <row r="37" spans="1:12" ht="15.75" x14ac:dyDescent="0.25">
      <c r="A37" s="76" t="s">
        <v>358</v>
      </c>
      <c r="B37" s="99" t="s">
        <v>39</v>
      </c>
      <c r="C37" s="97">
        <f>SUM(C31:C33)*I37</f>
        <v>11234050.738091066</v>
      </c>
      <c r="D37" s="95">
        <v>1.076406</v>
      </c>
      <c r="E37" s="54">
        <f t="shared" si="5"/>
        <v>12092399.618785651</v>
      </c>
      <c r="F37" s="54">
        <f t="shared" si="6"/>
        <v>2418479.9237571303</v>
      </c>
      <c r="G37" s="54">
        <f t="shared" si="7"/>
        <v>14510879.542542782</v>
      </c>
      <c r="H37" s="79">
        <f t="shared" si="4"/>
        <v>9432071.7026528083</v>
      </c>
      <c r="I37" s="98">
        <v>8.4400000000000003E-2</v>
      </c>
      <c r="J37" s="68"/>
      <c r="K37" s="74"/>
      <c r="L37" s="96"/>
    </row>
    <row r="38" spans="1:12" ht="15.75" x14ac:dyDescent="0.25">
      <c r="A38" s="76" t="s">
        <v>359</v>
      </c>
      <c r="B38" s="86" t="s">
        <v>6</v>
      </c>
      <c r="C38" s="97">
        <f>SUM(C31:C33)*I38</f>
        <v>3793488.6971042105</v>
      </c>
      <c r="D38" s="95">
        <v>1.076406</v>
      </c>
      <c r="E38" s="54">
        <f t="shared" si="5"/>
        <v>4083333.9944951548</v>
      </c>
      <c r="F38" s="54">
        <f t="shared" si="6"/>
        <v>816666.79889903101</v>
      </c>
      <c r="G38" s="54">
        <f t="shared" si="7"/>
        <v>4900000.7933941856</v>
      </c>
      <c r="H38" s="79">
        <f t="shared" si="4"/>
        <v>3185000.5157062206</v>
      </c>
      <c r="I38" s="98">
        <v>2.8500000000000001E-2</v>
      </c>
      <c r="J38" s="68"/>
      <c r="K38" s="74"/>
      <c r="L38" s="96"/>
    </row>
    <row r="39" spans="1:12" x14ac:dyDescent="0.25">
      <c r="A39" s="76" t="s">
        <v>360</v>
      </c>
      <c r="B39" s="86" t="s">
        <v>5</v>
      </c>
      <c r="C39" s="97">
        <f>SUM(C31:C33)*I39</f>
        <v>2888375.6044618026</v>
      </c>
      <c r="D39" s="95">
        <v>1.076406</v>
      </c>
      <c r="E39" s="54">
        <f t="shared" si="5"/>
        <v>3109064.830896311</v>
      </c>
      <c r="F39" s="54">
        <f t="shared" si="6"/>
        <v>621812.96617926226</v>
      </c>
      <c r="G39" s="54">
        <f t="shared" si="7"/>
        <v>3730877.7970755734</v>
      </c>
      <c r="H39" s="79">
        <f t="shared" si="4"/>
        <v>2425070.568099123</v>
      </c>
      <c r="I39" s="100">
        <v>2.1700000000000001E-2</v>
      </c>
    </row>
    <row r="40" spans="1:12" x14ac:dyDescent="0.25">
      <c r="A40" s="82"/>
      <c r="B40" s="101" t="s">
        <v>361</v>
      </c>
      <c r="C40" s="97">
        <f>SUM(C31:C34)</f>
        <v>155160342.95489046</v>
      </c>
      <c r="D40" s="95">
        <v>1.076406</v>
      </c>
      <c r="E40" s="54">
        <f>SUM(E31:E34)</f>
        <v>167015524.11870182</v>
      </c>
      <c r="F40" s="54">
        <f>SUM(F31:F34)</f>
        <v>33403104.823740371</v>
      </c>
      <c r="G40" s="54">
        <f>SUM(G31:G34)</f>
        <v>200418628.94244215</v>
      </c>
      <c r="H40" s="79">
        <f>G40*0.65</f>
        <v>130272108.8125874</v>
      </c>
    </row>
    <row r="42" spans="1:12" s="55" customFormat="1" ht="12.75" x14ac:dyDescent="0.2">
      <c r="A42" s="90" t="s">
        <v>28</v>
      </c>
      <c r="B42" s="90"/>
    </row>
    <row r="43" spans="1:12" s="65" customFormat="1" ht="67.5" customHeight="1" x14ac:dyDescent="0.25">
      <c r="A43" s="102" t="s">
        <v>29</v>
      </c>
      <c r="B43" s="104" t="s">
        <v>376</v>
      </c>
      <c r="C43" s="104"/>
      <c r="D43" s="104"/>
      <c r="E43" s="104"/>
      <c r="F43" s="104"/>
      <c r="G43" s="104"/>
    </row>
    <row r="44" spans="1:12" s="65" customFormat="1" ht="40.5" customHeight="1" x14ac:dyDescent="0.25">
      <c r="A44" s="102" t="s">
        <v>30</v>
      </c>
      <c r="B44" s="104" t="s">
        <v>362</v>
      </c>
      <c r="C44" s="104"/>
      <c r="D44" s="104"/>
      <c r="E44" s="104"/>
      <c r="F44" s="104"/>
      <c r="G44" s="104"/>
      <c r="H44" s="64"/>
      <c r="I44" s="64" t="s">
        <v>369</v>
      </c>
      <c r="J44" s="65">
        <v>7.46</v>
      </c>
    </row>
    <row r="45" spans="1:12" s="65" customFormat="1" ht="28.5" customHeight="1" x14ac:dyDescent="0.25">
      <c r="A45" s="102" t="s">
        <v>32</v>
      </c>
      <c r="B45" s="104" t="s">
        <v>33</v>
      </c>
      <c r="C45" s="104"/>
      <c r="D45" s="104"/>
      <c r="E45" s="104"/>
      <c r="F45" s="104"/>
      <c r="G45" s="104"/>
      <c r="I45" s="65" t="s">
        <v>367</v>
      </c>
      <c r="J45" s="65">
        <v>5.62</v>
      </c>
    </row>
    <row r="46" spans="1:12" s="55" customFormat="1" ht="16.5" customHeight="1" x14ac:dyDescent="0.2">
      <c r="A46" s="102" t="s">
        <v>34</v>
      </c>
      <c r="B46" s="65" t="s">
        <v>377</v>
      </c>
      <c r="C46" s="65"/>
      <c r="I46" s="55" t="s">
        <v>366</v>
      </c>
      <c r="J46" s="55">
        <v>6.16</v>
      </c>
    </row>
    <row r="47" spans="1:12" s="55" customFormat="1" ht="15.75" customHeight="1" x14ac:dyDescent="0.2">
      <c r="A47" s="103" t="s">
        <v>35</v>
      </c>
      <c r="B47" s="65" t="s">
        <v>378</v>
      </c>
      <c r="C47" s="65"/>
    </row>
    <row r="48" spans="1:12" s="55" customFormat="1" ht="18.75" customHeight="1" x14ac:dyDescent="0.2">
      <c r="A48" s="103" t="s">
        <v>36</v>
      </c>
      <c r="B48" s="65" t="s">
        <v>41</v>
      </c>
      <c r="C48" s="65"/>
    </row>
    <row r="49" spans="1:2" s="55" customFormat="1" ht="12.75" x14ac:dyDescent="0.2">
      <c r="A49" s="89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'C:\Users\sert-dmitrieva\Documents\УНЦ_Укр. расчеты\[Пример _расчета_стоимости.xlsx]Типовые 2 кв. 2021'!#REF!</xm:f>
          </x14:formula1>
          <xm:sqref>B18</xm:sqref>
        </x14:dataValidation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2022-06-29T13:34:43Z</dcterms:modified>
</cp:coreProperties>
</file>