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ИТОГ\N_23-1-20-0-08-04-0-0663\"/>
    </mc:Choice>
  </mc:AlternateContent>
  <xr:revisionPtr revIDLastSave="0" documentId="13_ncr:1_{0351AFB0-2DEA-48D5-8222-4F644481667A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M18" i="4" l="1"/>
  <c r="M19" i="4"/>
  <c r="M20" i="4"/>
  <c r="M21" i="4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<sst xmlns="http://schemas.openxmlformats.org/spreadsheetml/2006/main" count="405" uniqueCount="366">
  <si>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</si>
  <si>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</si>
  <si>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</si>
  <si>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</si>
  <si>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</si>
  <si>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</si>
  <si>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</si>
  <si>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</si>
  <si>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</si>
  <si>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</si>
  <si>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</si>
  <si>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</si>
  <si>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</si>
  <si>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</si>
  <si>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</si>
  <si>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</si>
  <si>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</si>
  <si>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</si>
  <si>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</si>
  <si>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</si>
  <si>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</si>
  <si>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</si>
  <si>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</si>
  <si>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</si>
  <si>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</si>
  <si>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</si>
  <si>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</si>
  <si>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</si>
  <si>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</si>
  <si>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</si>
  <si>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</si>
  <si>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</si>
  <si>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</si>
  <si>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</si>
  <si>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</si>
  <si>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</si>
  <si>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</si>
  <si>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</si>
  <si>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</si>
  <si>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</si>
  <si>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</si>
  <si>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</si>
  <si>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</si>
  <si>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</si>
  <si>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</si>
  <si>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</si>
  <si>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</si>
  <si>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</si>
  <si>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</si>
  <si>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</si>
  <si>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</si>
  <si>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</si>
  <si>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</si>
  <si>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</si>
  <si>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</si>
  <si>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</si>
  <si>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</si>
  <si>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</si>
  <si>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</si>
  <si>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</si>
  <si>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</si>
  <si>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</si>
  <si>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</si>
  <si>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</si>
  <si>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</si>
  <si>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</si>
  <si>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</si>
  <si>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</si>
  <si>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</si>
  <si>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</si>
  <si>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</si>
  <si>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</si>
  <si>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</si>
  <si>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</si>
  <si>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</si>
  <si>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</si>
  <si>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</si>
  <si>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</si>
  <si>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</si>
  <si>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</si>
  <si>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</si>
  <si>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</si>
  <si>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</si>
  <si>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</si>
  <si>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</si>
  <si>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</si>
  <si>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</si>
  <si>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</si>
  <si>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</si>
  <si>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</si>
  <si>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</si>
  <si>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</si>
  <si>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</si>
  <si>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</si>
  <si>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</si>
  <si>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</si>
  <si>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</si>
  <si>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</si>
  <si>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</si>
  <si>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</si>
  <si>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</si>
  <si>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</si>
  <si>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</si>
  <si>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</si>
  <si>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</si>
  <si>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</si>
  <si>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</si>
  <si>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</si>
  <si>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</si>
  <si>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</si>
  <si>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</si>
  <si>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</si>
  <si>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</si>
  <si>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</si>
  <si>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</si>
  <si>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</si>
  <si>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</si>
  <si>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</si>
  <si>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</si>
  <si>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</si>
  <si>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</si>
  <si>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</si>
  <si>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</si>
  <si>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</si>
  <si>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</si>
  <si>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</si>
  <si>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</si>
  <si>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</si>
  <si>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</si>
  <si>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</si>
  <si>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</si>
  <si>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</si>
  <si>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</si>
  <si>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</si>
  <si>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</si>
  <si>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</si>
  <si>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</si>
  <si>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</si>
  <si>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</si>
  <si>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</si>
  <si>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</si>
  <si>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</si>
  <si>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</si>
  <si>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</si>
  <si>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</si>
  <si>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</si>
  <si>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</si>
  <si>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</si>
  <si>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</si>
  <si>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</si>
  <si>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</si>
  <si>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</si>
  <si>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</si>
  <si>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</si>
  <si>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</si>
  <si>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</si>
  <si>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</si>
  <si>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</si>
  <si>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</si>
  <si>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</si>
  <si>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</si>
  <si>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</si>
  <si>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</si>
  <si>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</si>
  <si>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</si>
  <si>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</si>
  <si>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</si>
  <si>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</si>
  <si>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</si>
  <si>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</si>
  <si>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</si>
  <si>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</si>
  <si>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</si>
  <si>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</si>
  <si>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</si>
  <si>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</si>
  <si>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</si>
  <si>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</si>
  <si>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</si>
  <si>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</si>
  <si>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</si>
  <si>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</si>
  <si>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</si>
  <si>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</si>
  <si>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</si>
  <si>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</si>
  <si>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</si>
  <si>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</si>
  <si>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</si>
  <si>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</si>
  <si>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</si>
  <si>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</si>
  <si>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</si>
  <si>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</si>
  <si>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</si>
  <si>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</si>
  <si>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</si>
  <si>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</si>
  <si>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</si>
  <si>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</si>
  <si>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</si>
  <si>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</si>
  <si>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</si>
  <si>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</si>
  <si>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</si>
  <si>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</si>
  <si>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</si>
  <si>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</si>
  <si>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</si>
  <si>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</si>
  <si>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</si>
  <si>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</si>
  <si>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</si>
  <si>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</si>
  <si>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</si>
  <si>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</si>
  <si>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</si>
  <si>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</si>
  <si>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</si>
  <si>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</si>
  <si>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</si>
  <si>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</si>
  <si>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</si>
  <si>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</si>
  <si>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</si>
  <si>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</si>
  <si>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</si>
  <si>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</si>
  <si>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</si>
  <si>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</si>
  <si>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</si>
  <si>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</si>
  <si>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</si>
  <si>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</si>
  <si>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</si>
  <si>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</si>
  <si>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</si>
  <si>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</si>
  <si>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</si>
  <si>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</si>
  <si>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</si>
  <si>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</si>
  <si>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</si>
  <si>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</si>
  <si>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</si>
  <si>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</si>
  <si>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</si>
  <si>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</si>
  <si>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</si>
  <si>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</si>
  <si>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</si>
  <si>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</si>
  <si>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</si>
  <si>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</si>
  <si>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</si>
  <si>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</si>
  <si>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</si>
  <si>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</si>
  <si>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</si>
  <si>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</si>
  <si>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</si>
  <si>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</si>
  <si>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</si>
  <si>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</si>
  <si>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</si>
  <si>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</si>
  <si>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</si>
  <si>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</si>
  <si>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</si>
  <si>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</si>
  <si>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</si>
  <si>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</si>
  <si>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</si>
  <si>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</si>
  <si>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</si>
  <si>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</si>
  <si>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</si>
  <si>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</si>
  <si>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</si>
  <si>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</si>
  <si>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</si>
  <si>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</si>
  <si>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</si>
  <si>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</si>
  <si>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</si>
  <si>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</si>
  <si>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</si>
  <si>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</si>
  <si>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</si>
  <si>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</si>
  <si>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</si>
  <si>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</si>
  <si>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</si>
  <si>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</si>
  <si>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</si>
  <si>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</si>
  <si>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</si>
  <si>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</si>
  <si>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</si>
  <si>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</si>
  <si>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</si>
  <si>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</si>
  <si>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</si>
  <si>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</si>
  <si>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</si>
  <si>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</si>
  <si>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</si>
  <si>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</si>
  <si>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</si>
  <si>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</si>
  <si>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</si>
  <si>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</si>
  <si>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</si>
  <si>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</si>
  <si>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</si>
  <si>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</si>
  <si>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</si>
  <si>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</si>
  <si>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</si>
  <si>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</si>
  <si>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</si>
  <si>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</si>
  <si>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</si>
  <si>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</si>
  <si>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</si>
  <si>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</si>
  <si>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</si>
  <si>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</si>
  <si>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</si>
  <si>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</si>
  <si>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</si>
  <si>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</si>
  <si>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</si>
  <si>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</si>
  <si>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</si>
  <si>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</si>
  <si>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</si>
  <si>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</si>
  <si>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</si>
  <si>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</si>
  <si>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</si>
  <si>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</si>
  <si>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</si>
  <si>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</si>
  <si>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</si>
  <si>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</si>
  <si>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</si>
  <si>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</si>
  <si>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</si>
  <si>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</si>
  <si>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</si>
  <si>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</si>
  <si>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</si>
  <si>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</si>
  <si>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</si>
  <si>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</si>
  <si>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</si>
  <si>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</si>
  <si>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</si>
  <si>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</si>
  <si>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</si>
  <si>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</si>
  <si>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</si>
  <si>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Реконструкция оборудования ТП-40 и ТП-3 в части замены трансформатора 0,1 МВА на 0,25 МВА, РПС (2 шт.) по договору ТП №20-009/005-ПС-22 в г. Волхов ЛО</t>
  </si>
  <si>
    <t>шт</t>
  </si>
  <si>
    <t>N_23-1-20-0-08-04-0-0663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</si>
</sst>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H7" sqref="H7:P7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6" t="s">
        <v>363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</row>
    <row r="6" spans="1:22" ht="10.5" customHeight="1" x14ac:dyDescent="0.25"/>
    <row r="7" spans="1:22" ht="13.5" customHeight="1" x14ac:dyDescent="0.25">
      <c r="A7" s="6" t="s">
        <v>5</v>
      </c>
      <c r="H7" s="191" t="s">
        <v>365</v>
      </c>
      <c r="I7" s="191"/>
      <c r="J7" s="191"/>
      <c r="K7" s="191"/>
      <c r="L7" s="191"/>
      <c r="M7" s="191"/>
      <c r="N7" s="191"/>
      <c r="O7" s="191"/>
      <c r="P7" s="191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0" t="s">
        <v>75</v>
      </c>
      <c r="I9" s="190"/>
      <c r="J9" s="190"/>
      <c r="K9" s="190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88" t="s">
        <v>6</v>
      </c>
      <c r="B13" s="188" t="s">
        <v>9</v>
      </c>
      <c r="C13" s="188" t="s">
        <v>334</v>
      </c>
      <c r="D13" s="188" t="s">
        <v>349</v>
      </c>
      <c r="E13" s="188"/>
      <c r="F13" s="188"/>
      <c r="G13" s="188"/>
      <c r="H13" s="188" t="s">
        <v>335</v>
      </c>
      <c r="I13" s="188" t="s">
        <v>348</v>
      </c>
      <c r="J13" s="188" t="s">
        <v>7</v>
      </c>
      <c r="K13" s="189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5" t="s">
        <v>337</v>
      </c>
      <c r="Q13" s="24"/>
    </row>
    <row r="14" spans="1:22" ht="38.25" customHeight="1" x14ac:dyDescent="0.25">
      <c r="A14" s="188"/>
      <c r="B14" s="188"/>
      <c r="C14" s="188"/>
      <c r="D14" s="136" t="s">
        <v>89</v>
      </c>
      <c r="E14" s="136" t="s">
        <v>91</v>
      </c>
      <c r="F14" s="136" t="s">
        <v>93</v>
      </c>
      <c r="G14" s="136" t="s">
        <v>318</v>
      </c>
      <c r="H14" s="188"/>
      <c r="I14" s="188"/>
      <c r="J14" s="188"/>
      <c r="K14" s="189"/>
      <c r="L14" s="136" t="s">
        <v>1</v>
      </c>
      <c r="M14" s="136" t="s">
        <v>317</v>
      </c>
      <c r="N14" s="136" t="s">
        <v>2</v>
      </c>
      <c r="O14" s="136" t="s">
        <v>3</v>
      </c>
      <c r="P14" s="185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39"/>
      <c r="R15" s="139"/>
      <c r="S15" s="139"/>
      <c r="T15" s="139"/>
      <c r="U15" s="39"/>
      <c r="V15" s="17"/>
    </row>
    <row r="16" spans="1:22" ht="24" customHeight="1" x14ac:dyDescent="0.25">
      <c r="A16" s="10"/>
      <c r="B16" s="40" t="s">
        <v>145</v>
      </c>
      <c r="C16" s="37">
        <f>VLOOKUP($B$16:$B$29,'Наименование работ'!B:G,6,)</f>
        <v>58169.58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209336.86509999988</v>
      </c>
      <c r="I16" s="36">
        <f>VLOOKUP($B$16:$B$29,'Наименование работ'!B:R,17,)</f>
        <v>296209.43820000003</v>
      </c>
      <c r="J16" s="38" t="s">
        <v>364</v>
      </c>
      <c r="K16" s="156">
        <v>1</v>
      </c>
      <c r="L16" s="33">
        <f>(N16+O16)*0.08</f>
        <v>40443.704263999993</v>
      </c>
      <c r="M16" s="33">
        <v>40000</v>
      </c>
      <c r="N16" s="34">
        <f>K16*H16</f>
        <v>209336.86509999988</v>
      </c>
      <c r="O16" s="34">
        <f>K16*I16</f>
        <v>296209.43820000003</v>
      </c>
      <c r="P16" s="34">
        <f t="shared" ref="P16" si="0">SUM(L16:O16)</f>
        <v>585990.00756399985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40" t="s">
        <v>154</v>
      </c>
      <c r="C17" s="37">
        <f>VLOOKUP($B$16:$B$29,'Наименование работ'!B:G,6,)</f>
        <v>9949.2900000000009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10.17</v>
      </c>
      <c r="F17" s="37">
        <f>VLOOKUP($B$16:$B$29,'Наименование работ'!B:O,14,)</f>
        <v>7.86</v>
      </c>
      <c r="G17" s="37">
        <f>VLOOKUP($B$16:$B$29,'Наименование работ'!B:Q,16,)</f>
        <v>6.33</v>
      </c>
      <c r="H17" s="36">
        <f>VLOOKUP(B17:B30,'Наименование работ'!B:S,18,)</f>
        <v>113299.77290000003</v>
      </c>
      <c r="I17" s="36">
        <f>VLOOKUP($B$16:$B$29,'Наименование работ'!B:R,17,)</f>
        <v>24195.159</v>
      </c>
      <c r="J17" s="38" t="s">
        <v>364</v>
      </c>
      <c r="K17" s="156">
        <v>2</v>
      </c>
      <c r="L17" s="33">
        <f t="shared" ref="L17" si="1">(N17+O17)*0.08</f>
        <v>21999.189104000005</v>
      </c>
      <c r="M17" s="33">
        <v>0</v>
      </c>
      <c r="N17" s="34">
        <f t="shared" ref="N17:N29" si="2">K17*H17</f>
        <v>226599.54580000005</v>
      </c>
      <c r="O17" s="34">
        <f t="shared" ref="O17:O29" si="3">K17*I17</f>
        <v>48390.317999999999</v>
      </c>
      <c r="P17" s="34">
        <f t="shared" ref="P17" si="4">SUM(L17:O17)</f>
        <v>296989.05290400004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184</v>
      </c>
      <c r="C18" s="37">
        <f>VLOOKUP($B$16:$B$29,'Наименование работ'!B:G,6,)</f>
        <v>669729.81000000006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4716973.8205000004</v>
      </c>
      <c r="I18" s="36">
        <f>VLOOKUP($B$16:$B$29,'Наименование работ'!B:R,17,)</f>
        <v>0</v>
      </c>
      <c r="J18" s="38" t="s">
        <v>353</v>
      </c>
      <c r="K18" s="149"/>
      <c r="L18" s="33">
        <f t="shared" ref="L18:L29" si="5">(N18+O18)*0.08</f>
        <v>0</v>
      </c>
      <c r="M18" s="33">
        <f t="shared" ref="M18:M29" si="6">147300*K18</f>
        <v>0</v>
      </c>
      <c r="N18" s="34">
        <f t="shared" si="2"/>
        <v>0</v>
      </c>
      <c r="O18" s="34">
        <f t="shared" si="3"/>
        <v>0</v>
      </c>
      <c r="P18" s="34">
        <f t="shared" ref="P18" si="7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66</v>
      </c>
      <c r="C19" s="37">
        <f>VLOOKUP($B$16:$B$29,'Наименование работ'!B:G,6,)</f>
        <v>568619.43000000005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4052197.5176000008</v>
      </c>
      <c r="I19" s="36">
        <f>VLOOKUP($B$16:$B$29,'Наименование работ'!B:R,17,)</f>
        <v>0</v>
      </c>
      <c r="J19" s="38" t="s">
        <v>353</v>
      </c>
      <c r="K19" s="149"/>
      <c r="L19" s="33">
        <f>(N19+O19)*0.04</f>
        <v>0</v>
      </c>
      <c r="M19" s="33">
        <f t="shared" si="6"/>
        <v>0</v>
      </c>
      <c r="N19" s="34">
        <f t="shared" si="2"/>
        <v>0</v>
      </c>
      <c r="O19" s="34">
        <f t="shared" si="3"/>
        <v>0</v>
      </c>
      <c r="P19" s="34">
        <f t="shared" ref="P19:P23" si="8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210</v>
      </c>
      <c r="C20" s="37">
        <f>VLOOKUP($B$16:$B$29,'Наименование работ'!B:G,6,)</f>
        <v>898103.22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8.27</v>
      </c>
      <c r="F20" s="37">
        <f>VLOOKUP($B$16:$B$29,'Наименование работ'!B:O,14,)</f>
        <v>3.76</v>
      </c>
      <c r="G20" s="37">
        <f>VLOOKUP($B$16:$B$29,'Наименование работ'!B:Q,16,)</f>
        <v>0</v>
      </c>
      <c r="H20" s="36">
        <f>VLOOKUP(B20:B33,'Наименование работ'!B:S,18,)</f>
        <v>8348995.227599998</v>
      </c>
      <c r="I20" s="36">
        <f>VLOOKUP($B$16:$B$29,'Наименование работ'!B:R,17,)</f>
        <v>0</v>
      </c>
      <c r="J20" s="38" t="s">
        <v>353</v>
      </c>
      <c r="K20" s="149"/>
      <c r="L20" s="33">
        <f>(N20+O20)*0.04</f>
        <v>0</v>
      </c>
      <c r="M20" s="33">
        <f t="shared" si="6"/>
        <v>0</v>
      </c>
      <c r="N20" s="34">
        <f t="shared" si="2"/>
        <v>0</v>
      </c>
      <c r="O20" s="34">
        <f t="shared" si="3"/>
        <v>0</v>
      </c>
      <c r="P20" s="34">
        <f t="shared" si="8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6"/>
        <v>0</v>
      </c>
      <c r="N21" s="34">
        <f t="shared" si="2"/>
        <v>0</v>
      </c>
      <c r="O21" s="34">
        <f t="shared" si="3"/>
        <v>0</v>
      </c>
      <c r="P21" s="34">
        <f t="shared" si="8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6"/>
        <v>0</v>
      </c>
      <c r="N22" s="34">
        <f t="shared" si="2"/>
        <v>0</v>
      </c>
      <c r="O22" s="34">
        <f t="shared" si="3"/>
        <v>0</v>
      </c>
      <c r="P22" s="34">
        <f t="shared" si="8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6"/>
        <v>0</v>
      </c>
      <c r="N23" s="34">
        <f t="shared" si="2"/>
        <v>0</v>
      </c>
      <c r="O23" s="34">
        <f t="shared" si="3"/>
        <v>0</v>
      </c>
      <c r="P23" s="34">
        <f t="shared" si="8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6"/>
        <v>0</v>
      </c>
      <c r="N24" s="34">
        <f t="shared" ref="N24:N28" si="9">K24*H24</f>
        <v>0</v>
      </c>
      <c r="O24" s="34">
        <f t="shared" si="3"/>
        <v>0</v>
      </c>
      <c r="P24" s="34">
        <f t="shared" ref="P24:P28" si="10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6"/>
        <v>0</v>
      </c>
      <c r="N25" s="34">
        <f t="shared" si="9"/>
        <v>0</v>
      </c>
      <c r="O25" s="34">
        <f t="shared" si="3"/>
        <v>0</v>
      </c>
      <c r="P25" s="34">
        <f t="shared" si="10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6"/>
        <v>0</v>
      </c>
      <c r="N26" s="34">
        <f t="shared" si="9"/>
        <v>0</v>
      </c>
      <c r="O26" s="34">
        <f t="shared" si="3"/>
        <v>0</v>
      </c>
      <c r="P26" s="34">
        <f t="shared" si="10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6"/>
        <v>0</v>
      </c>
      <c r="N27" s="34">
        <f t="shared" si="9"/>
        <v>0</v>
      </c>
      <c r="O27" s="34">
        <f t="shared" si="3"/>
        <v>0</v>
      </c>
      <c r="P27" s="34">
        <f t="shared" si="10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6"/>
        <v>0</v>
      </c>
      <c r="N28" s="34">
        <f t="shared" si="9"/>
        <v>0</v>
      </c>
      <c r="O28" s="34">
        <f t="shared" si="3"/>
        <v>0</v>
      </c>
      <c r="P28" s="34">
        <f t="shared" si="10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6"/>
        <v>0</v>
      </c>
      <c r="N29" s="34">
        <f t="shared" si="2"/>
        <v>0</v>
      </c>
      <c r="O29" s="34">
        <f t="shared" si="3"/>
        <v>0</v>
      </c>
      <c r="P29" s="34">
        <f t="shared" ref="P29" si="11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8" t="s">
        <v>317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80"/>
      <c r="P30" s="34">
        <f>SUM(M16:M29)</f>
        <v>40000</v>
      </c>
    </row>
    <row r="31" spans="1:22" ht="16.5" customHeight="1" x14ac:dyDescent="0.25">
      <c r="A31" s="141"/>
      <c r="B31" s="178" t="s">
        <v>2</v>
      </c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  <c r="P31" s="35">
        <f>SUM(N16:N29)</f>
        <v>435936.4108999999</v>
      </c>
    </row>
    <row r="32" spans="1:22" ht="16.5" customHeight="1" x14ac:dyDescent="0.25">
      <c r="A32" s="141"/>
      <c r="B32" s="178" t="s">
        <v>3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80"/>
      <c r="P32" s="35">
        <f>SUM(O16:O29)</f>
        <v>344599.75620000006</v>
      </c>
    </row>
    <row r="33" spans="1:21" ht="16.5" customHeight="1" x14ac:dyDescent="0.25">
      <c r="A33" s="141"/>
      <c r="B33" s="178" t="s">
        <v>346</v>
      </c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80"/>
      <c r="P33" s="35">
        <f>SUM(L16:L29)</f>
        <v>62442.893367999997</v>
      </c>
      <c r="Q33" s="32"/>
      <c r="R33" s="32"/>
    </row>
    <row r="34" spans="1:21" ht="16.5" customHeight="1" x14ac:dyDescent="0.25">
      <c r="A34" s="141"/>
      <c r="B34" s="193" t="s">
        <v>12</v>
      </c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5"/>
      <c r="P34" s="34">
        <f>SUM(P30:P33)</f>
        <v>882979.06046800001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8" t="s">
        <v>0</v>
      </c>
      <c r="C38" s="188"/>
      <c r="D38" s="188"/>
      <c r="E38" s="188"/>
      <c r="F38" s="196" t="s">
        <v>337</v>
      </c>
      <c r="G38" s="196"/>
      <c r="H38" s="197"/>
      <c r="I38" s="200" t="s">
        <v>354</v>
      </c>
      <c r="J38" s="201"/>
      <c r="K38" s="189" t="s">
        <v>338</v>
      </c>
      <c r="L38" s="189"/>
      <c r="M38" s="189" t="s">
        <v>339</v>
      </c>
      <c r="N38" s="189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66" t="s">
        <v>319</v>
      </c>
      <c r="C39" s="166"/>
      <c r="D39" s="166"/>
      <c r="E39" s="166"/>
      <c r="F39" s="198">
        <f>P33+P30</f>
        <v>102442.89336799999</v>
      </c>
      <c r="G39" s="198"/>
      <c r="H39" s="199"/>
      <c r="I39" s="202">
        <v>1.07</v>
      </c>
      <c r="J39" s="203"/>
      <c r="K39" s="183">
        <f>F39*$I$39</f>
        <v>109613.89590376</v>
      </c>
      <c r="L39" s="183"/>
      <c r="M39" s="183">
        <f>K39*1.2</f>
        <v>131536.67508451198</v>
      </c>
      <c r="N39" s="183"/>
      <c r="O39" s="157" t="s">
        <v>74</v>
      </c>
      <c r="P39" s="158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66" t="s">
        <v>2</v>
      </c>
      <c r="C40" s="166"/>
      <c r="D40" s="166"/>
      <c r="E40" s="166"/>
      <c r="F40" s="181">
        <f>P31</f>
        <v>435936.4108999999</v>
      </c>
      <c r="G40" s="181"/>
      <c r="H40" s="182"/>
      <c r="I40" s="204"/>
      <c r="J40" s="205"/>
      <c r="K40" s="183">
        <f t="shared" ref="K40:K41" si="12">F40*$I$39</f>
        <v>466451.9596629999</v>
      </c>
      <c r="L40" s="183"/>
      <c r="M40" s="183">
        <f>K40*1.2</f>
        <v>559742.3515955999</v>
      </c>
      <c r="N40" s="183"/>
      <c r="O40" s="157" t="s">
        <v>75</v>
      </c>
      <c r="P40" s="158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66" t="s">
        <v>3</v>
      </c>
      <c r="C41" s="166"/>
      <c r="D41" s="166"/>
      <c r="E41" s="166"/>
      <c r="F41" s="181">
        <f>P32</f>
        <v>344599.75620000006</v>
      </c>
      <c r="G41" s="181"/>
      <c r="H41" s="182"/>
      <c r="I41" s="204"/>
      <c r="J41" s="205"/>
      <c r="K41" s="183">
        <f t="shared" si="12"/>
        <v>368721.73913400009</v>
      </c>
      <c r="L41" s="183"/>
      <c r="M41" s="184">
        <f t="shared" ref="M41" si="13">K41*1.2</f>
        <v>442466.08696080011</v>
      </c>
      <c r="N41" s="184"/>
      <c r="O41" s="157" t="s">
        <v>76</v>
      </c>
      <c r="P41" s="158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66" t="s">
        <v>4</v>
      </c>
      <c r="C42" s="166"/>
      <c r="D42" s="166"/>
      <c r="E42" s="166"/>
      <c r="F42" s="181"/>
      <c r="G42" s="181"/>
      <c r="H42" s="182"/>
      <c r="I42" s="204"/>
      <c r="J42" s="205"/>
      <c r="K42" s="167">
        <f>SUM(F43:H45)*$I$39</f>
        <v>194059.3719515361</v>
      </c>
      <c r="L42" s="168"/>
      <c r="M42" s="167">
        <f>K42*1.2</f>
        <v>232871.2463418433</v>
      </c>
      <c r="N42" s="168"/>
      <c r="O42" s="157" t="s">
        <v>77</v>
      </c>
      <c r="P42" s="158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173" t="s">
        <v>356</v>
      </c>
      <c r="C43" s="173"/>
      <c r="D43" s="173"/>
      <c r="E43" s="173"/>
      <c r="F43" s="171">
        <f>SUM(F39:H41)/100*P49</f>
        <v>18895.7518940152</v>
      </c>
      <c r="G43" s="171"/>
      <c r="H43" s="172"/>
      <c r="I43" s="204"/>
      <c r="J43" s="205"/>
      <c r="K43" s="169"/>
      <c r="L43" s="170"/>
      <c r="M43" s="169"/>
      <c r="N43" s="170"/>
      <c r="O43" s="159" t="s">
        <v>359</v>
      </c>
      <c r="P43" s="158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173" t="s">
        <v>358</v>
      </c>
      <c r="C44" s="173"/>
      <c r="D44" s="173"/>
      <c r="E44" s="173"/>
      <c r="F44" s="171">
        <f>SUM(F39:H41)/100*P50</f>
        <v>103308.55007475599</v>
      </c>
      <c r="G44" s="171"/>
      <c r="H44" s="172"/>
      <c r="I44" s="204"/>
      <c r="J44" s="205"/>
      <c r="K44" s="169"/>
      <c r="L44" s="170"/>
      <c r="M44" s="169"/>
      <c r="N44" s="170"/>
      <c r="O44" s="159" t="s">
        <v>360</v>
      </c>
      <c r="P44" s="158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174" t="s">
        <v>357</v>
      </c>
      <c r="C45" s="174"/>
      <c r="D45" s="174"/>
      <c r="E45" s="174"/>
      <c r="F45" s="171">
        <f>SUM(F39:H41)/100*P51</f>
        <v>59159.597051356002</v>
      </c>
      <c r="G45" s="171"/>
      <c r="H45" s="172"/>
      <c r="I45" s="204"/>
      <c r="J45" s="205"/>
      <c r="K45" s="169"/>
      <c r="L45" s="170"/>
      <c r="M45" s="169"/>
      <c r="N45" s="170"/>
      <c r="O45" s="159" t="s">
        <v>361</v>
      </c>
      <c r="P45" s="158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175" t="s">
        <v>81</v>
      </c>
      <c r="B46" s="175"/>
      <c r="C46" s="175"/>
      <c r="D46" s="175"/>
      <c r="E46" s="175"/>
      <c r="F46" s="165">
        <f>SUM(F39:H45)</f>
        <v>1064342.9594881274</v>
      </c>
      <c r="G46" s="165"/>
      <c r="H46" s="165"/>
      <c r="I46" s="165"/>
      <c r="J46" s="165"/>
      <c r="K46" s="164">
        <f>SUM(K39:L45)</f>
        <v>1138846.966652296</v>
      </c>
      <c r="L46" s="164"/>
      <c r="M46" s="164">
        <f>SUM(M39:N45)</f>
        <v>1366616.3599827553</v>
      </c>
      <c r="N46" s="164"/>
      <c r="O46" s="159" t="s">
        <v>362</v>
      </c>
      <c r="P46" s="158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9"/>
      <c r="P47" s="160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9"/>
      <c r="P48" s="161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77" t="s">
        <v>342</v>
      </c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59"/>
      <c r="P49" s="162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77" t="s">
        <v>345</v>
      </c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59"/>
      <c r="P50" s="162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6" t="s">
        <v>343</v>
      </c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59"/>
      <c r="P51" s="163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6" t="s">
        <v>344</v>
      </c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FBAF23-1DBD-4DAE-9DB6-4E7E5E68D353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2024-04-22T14:08:02Z</dcterms:modified>
</cp:coreProperties>
</file>