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8-0-08-04-0-0739 -\"/>
    </mc:Choice>
  </mc:AlternateContent>
  <xr:revisionPtr revIDLastSave="0" documentId="13_ncr:1_{354A524B-E3FC-4EF7-A5E2-FA7D9887AF0B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s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I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P148" i="5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P118" i="5"/>
  <c r="N118" i="5"/>
  <c r="H118" i="5"/>
  <c r="E118" i="5"/>
  <c r="C118" i="5" s="1"/>
  <c r="L118" i="5" s="1"/>
  <c r="N117" i="5"/>
  <c r="E117" i="5"/>
  <c r="N116" i="5"/>
  <c r="E116" i="5"/>
  <c r="P116" i="5" s="1"/>
  <c r="C116" i="5"/>
  <c r="L116" i="5" s="1"/>
  <c r="N115" i="5"/>
  <c r="H115" i="5"/>
  <c r="E115" i="5"/>
  <c r="P115" i="5" s="1"/>
  <c r="C115" i="5"/>
  <c r="L115" i="5" s="1"/>
  <c r="N114" i="5"/>
  <c r="E114" i="5"/>
  <c r="N113" i="5"/>
  <c r="E113" i="5"/>
  <c r="P113" i="5" s="1"/>
  <c r="C113" i="5"/>
  <c r="L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C110" i="5"/>
  <c r="L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C85" i="5"/>
  <c r="L85" i="5" s="1"/>
  <c r="N84" i="5"/>
  <c r="H84" i="5"/>
  <c r="E84" i="5"/>
  <c r="P84" i="5" s="1"/>
  <c r="N83" i="5"/>
  <c r="H83" i="5"/>
  <c r="E83" i="5"/>
  <c r="P83" i="5" s="1"/>
  <c r="C83" i="5"/>
  <c r="L83" i="5" s="1"/>
  <c r="I83" i="5" s="1"/>
  <c r="J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C3" i="5"/>
  <c r="L3" i="5" s="1"/>
  <c r="I54" i="5" l="1"/>
  <c r="J54" i="5" s="1"/>
  <c r="C89" i="5"/>
  <c r="L89" i="5" s="1"/>
  <c r="P120" i="5"/>
  <c r="P158" i="5"/>
  <c r="C88" i="5"/>
  <c r="L88" i="5" s="1"/>
  <c r="I88" i="5" s="1"/>
  <c r="J88" i="5" s="1"/>
  <c r="P95" i="5"/>
  <c r="P145" i="5"/>
  <c r="C167" i="5"/>
  <c r="L167" i="5" s="1"/>
  <c r="I167" i="5" s="1"/>
  <c r="J167" i="5" s="1"/>
  <c r="C86" i="5"/>
  <c r="L86" i="5" s="1"/>
  <c r="C107" i="5"/>
  <c r="L107" i="5" s="1"/>
  <c r="C112" i="5"/>
  <c r="L112" i="5" s="1"/>
  <c r="C122" i="5"/>
  <c r="L122" i="5" s="1"/>
  <c r="C183" i="5"/>
  <c r="L183" i="5" s="1"/>
  <c r="C111" i="5"/>
  <c r="L111" i="5" s="1"/>
  <c r="P79" i="5"/>
  <c r="C75" i="5"/>
  <c r="L75" i="5" s="1"/>
  <c r="I75" i="5" s="1"/>
  <c r="J75" i="5" s="1"/>
  <c r="P78" i="5"/>
  <c r="C102" i="5"/>
  <c r="L102" i="5" s="1"/>
  <c r="C105" i="5"/>
  <c r="L105" i="5" s="1"/>
  <c r="C123" i="5"/>
  <c r="L123" i="5" s="1"/>
  <c r="P125" i="5"/>
  <c r="P151" i="5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C178" i="5"/>
  <c r="L178" i="5" s="1"/>
  <c r="I178" i="5" s="1"/>
  <c r="J178" i="5" s="1"/>
  <c r="I24" i="5"/>
  <c r="J24" i="5" s="1"/>
  <c r="C76" i="5"/>
  <c r="L76" i="5" s="1"/>
  <c r="C103" i="5"/>
  <c r="L103" i="5" s="1"/>
  <c r="C106" i="5"/>
  <c r="L106" i="5" s="1"/>
  <c r="P108" i="5"/>
  <c r="I108" i="5" s="1"/>
  <c r="J108" i="5" s="1"/>
  <c r="C119" i="5"/>
  <c r="L119" i="5" s="1"/>
  <c r="P139" i="5"/>
  <c r="P156" i="5"/>
  <c r="I156" i="5" s="1"/>
  <c r="J156" i="5" s="1"/>
  <c r="C182" i="5"/>
  <c r="L182" i="5" s="1"/>
  <c r="I182" i="5" s="1"/>
  <c r="J182" i="5" s="1"/>
  <c r="C124" i="5"/>
  <c r="L124" i="5" s="1"/>
  <c r="P146" i="5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P166" i="5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P97" i="5"/>
  <c r="I97" i="5" s="1"/>
  <c r="J97" i="5" s="1"/>
  <c r="P144" i="5"/>
  <c r="P147" i="5"/>
  <c r="I147" i="5" s="1"/>
  <c r="J147" i="5" s="1"/>
  <c r="P150" i="5"/>
  <c r="I150" i="5" s="1"/>
  <c r="J150" i="5" s="1"/>
  <c r="C154" i="5"/>
  <c r="L154" i="5" s="1"/>
  <c r="C180" i="5"/>
  <c r="L180" i="5" s="1"/>
  <c r="I180" i="5" s="1"/>
  <c r="J180" i="5" s="1"/>
  <c r="P188" i="5"/>
  <c r="I188" i="5" s="1"/>
  <c r="J188" i="5" s="1"/>
  <c r="P192" i="5"/>
  <c r="P195" i="5"/>
  <c r="P94" i="5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192" i="5"/>
  <c r="J192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123" i="5"/>
  <c r="J12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69" i="5"/>
  <c r="J169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6" i="5"/>
  <c r="J166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124" i="5"/>
  <c r="J12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39" i="5"/>
  <c r="J139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87" i="5"/>
  <c r="J87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8" i="5"/>
  <c r="J148" i="5" s="1"/>
  <c r="I149" i="5"/>
  <c r="J149" i="5" s="1"/>
  <c r="I151" i="5"/>
  <c r="J151" i="5" s="1"/>
  <c r="I159" i="5"/>
  <c r="J159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H20" i="4" s="1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S84" i="5" l="1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<sst xmlns="http://schemas.openxmlformats.org/spreadsheetml/2006/main" count="403" uniqueCount="366">
  <si>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</si>
  <si>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</si>
  <si>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</si>
  <si>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</si>
  <si>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</si>
  <si>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</si>
  <si>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</si>
  <si>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</si>
  <si>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</si>
  <si>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</si>
  <si>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</si>
  <si>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</si>
  <si>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</si>
  <si>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</si>
  <si>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</si>
  <si>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</si>
  <si>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</si>
  <si>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</si>
  <si>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</si>
  <si>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</si>
  <si>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</si>
  <si>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</si>
  <si>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</si>
  <si>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</si>
  <si>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</si>
  <si>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</si>
  <si>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</si>
  <si>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</si>
  <si>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</si>
  <si>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</si>
  <si>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</si>
  <si>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</si>
  <si>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</si>
  <si>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</si>
  <si>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</si>
  <si>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</si>
  <si>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</si>
  <si>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</si>
  <si>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</si>
  <si>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</si>
  <si>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</si>
  <si>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</si>
  <si>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</si>
  <si>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</si>
  <si>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</si>
  <si>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</si>
  <si>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</si>
  <si>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</si>
  <si>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</si>
  <si>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</si>
  <si>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</si>
  <si>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</si>
  <si>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</si>
  <si>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</si>
  <si>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</si>
  <si>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</si>
  <si>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</si>
  <si>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</si>
  <si>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</si>
  <si>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</si>
  <si>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</si>
  <si>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</si>
  <si>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</si>
  <si>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</si>
  <si>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</si>
  <si>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</si>
  <si>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</si>
  <si>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</si>
  <si>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</si>
  <si>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</si>
  <si>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</si>
  <si>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</si>
  <si>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</si>
  <si>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</si>
  <si>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</si>
  <si>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</si>
  <si>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</si>
  <si>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</si>
  <si>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</si>
  <si>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</si>
  <si>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</si>
  <si>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</si>
  <si>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</si>
  <si>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</si>
  <si>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</si>
  <si>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</si>
  <si>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</si>
  <si>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</si>
  <si>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</si>
  <si>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</si>
  <si>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</si>
  <si>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</si>
  <si>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</si>
  <si>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</si>
  <si>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</si>
  <si>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</si>
  <si>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</si>
  <si>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</si>
  <si>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</si>
  <si>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</si>
  <si>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</si>
  <si>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</si>
  <si>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</si>
  <si>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</si>
  <si>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</si>
  <si>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</si>
  <si>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</si>
  <si>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</si>
  <si>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</si>
  <si>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</si>
  <si>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</si>
  <si>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</si>
  <si>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</si>
  <si>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</si>
  <si>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</si>
  <si>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</si>
  <si>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</si>
  <si>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</si>
  <si>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</si>
  <si>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</si>
  <si>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</si>
  <si>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</si>
  <si>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</si>
  <si>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</si>
  <si>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</si>
  <si>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</si>
  <si>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</si>
  <si>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</si>
  <si>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</si>
  <si>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</si>
  <si>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</si>
  <si>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</si>
  <si>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</si>
  <si>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</si>
  <si>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</si>
  <si>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</si>
  <si>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</si>
  <si>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</si>
  <si>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</si>
  <si>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</si>
  <si>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</si>
  <si>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</si>
  <si>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</si>
  <si>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</si>
  <si>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</si>
  <si>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</si>
  <si>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</si>
  <si>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</si>
  <si>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</si>
  <si>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</si>
  <si>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</si>
  <si>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</si>
  <si>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</si>
  <si>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</si>
  <si>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</si>
  <si>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</si>
  <si>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</si>
  <si>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</si>
  <si>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</si>
  <si>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</si>
  <si>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</si>
  <si>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</si>
  <si>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</si>
  <si>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</si>
  <si>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</si>
  <si>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</si>
  <si>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</si>
  <si>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</si>
  <si>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</si>
  <si>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</si>
  <si>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</si>
  <si>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</si>
  <si>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</si>
  <si>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</si>
  <si>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</si>
  <si>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</si>
  <si>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</si>
  <si>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</si>
  <si>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</si>
  <si>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</si>
  <si>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</si>
  <si>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</si>
  <si>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</si>
  <si>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</si>
  <si>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</si>
  <si>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</si>
  <si>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</si>
  <si>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</si>
  <si>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</si>
  <si>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</si>
  <si>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</si>
  <si>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</si>
  <si>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</si>
  <si>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</si>
  <si>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</si>
  <si>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</si>
  <si>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</si>
  <si>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</si>
  <si>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</si>
  <si>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</si>
  <si>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</si>
  <si>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</si>
  <si>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</si>
  <si>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</si>
  <si>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</si>
  <si>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</si>
  <si>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</si>
  <si>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</si>
  <si>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</si>
  <si>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</si>
  <si>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</si>
  <si>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</si>
  <si>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</si>
  <si>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</si>
  <si>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</si>
  <si>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</si>
  <si>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</si>
  <si>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</si>
  <si>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</si>
  <si>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</si>
  <si>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</si>
  <si>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</si>
  <si>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</si>
  <si>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</si>
  <si>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</si>
  <si>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</si>
  <si>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</si>
  <si>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</si>
  <si>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</si>
  <si>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</si>
  <si>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</si>
  <si>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</si>
  <si>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</si>
  <si>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</si>
  <si>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</si>
  <si>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</si>
  <si>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</si>
  <si>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</si>
  <si>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</si>
  <si>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</si>
  <si>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</si>
  <si>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</si>
  <si>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</si>
  <si>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</si>
  <si>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</si>
  <si>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</si>
  <si>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</si>
  <si>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</si>
  <si>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</si>
  <si>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</si>
  <si>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</si>
  <si>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</si>
  <si>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</si>
  <si>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</si>
  <si>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</si>
  <si>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</si>
  <si>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</si>
  <si>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</si>
  <si>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</si>
  <si>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</si>
  <si>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</si>
  <si>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</si>
  <si>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</si>
  <si>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</si>
  <si>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</si>
  <si>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</si>
  <si>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</si>
  <si>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</si>
  <si>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</si>
  <si>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</si>
  <si>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</si>
  <si>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</si>
  <si>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</si>
  <si>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</si>
  <si>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</si>
  <si>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</si>
  <si>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</si>
  <si>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</si>
  <si>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</si>
  <si>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</si>
  <si>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</si>
  <si>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</si>
  <si>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</si>
  <si>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</si>
  <si>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</si>
  <si>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</si>
  <si>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</si>
  <si>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</si>
  <si>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</si>
  <si>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</si>
  <si>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</si>
  <si>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</si>
  <si>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</si>
  <si>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</si>
  <si>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</si>
  <si>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</si>
  <si>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</si>
  <si>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</si>
  <si>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</si>
  <si>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</si>
  <si>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</si>
  <si>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</si>
  <si>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</si>
  <si>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</si>
  <si>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</si>
  <si>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</si>
  <si>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</si>
  <si>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</si>
  <si>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</si>
  <si>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</si>
  <si>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</si>
  <si>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</si>
  <si>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</si>
  <si>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</si>
  <si>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</si>
  <si>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</si>
  <si>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</si>
  <si>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</si>
  <si>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</si>
  <si>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</si>
  <si>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</si>
  <si>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</si>
  <si>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</si>
  <si>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</si>
  <si>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</si>
  <si>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</si>
  <si>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</si>
  <si>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</si>
  <si>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</si>
  <si>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</si>
  <si>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</si>
  <si>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</si>
  <si>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</si>
  <si>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</si>
  <si>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</si>
  <si>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</si>
  <si>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</si>
  <si>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</si>
  <si>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</si>
  <si>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</si>
  <si>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</si>
  <si>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</si>
  <si>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</si>
  <si>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</si>
  <si>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</si>
  <si>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</si>
  <si>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</si>
  <si>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</si>
  <si>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</si>
  <si>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</si>
  <si>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</si>
  <si>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</si>
  <si>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</si>
  <si>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</si>
  <si>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</si>
  <si>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</si>
  <si>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</si>
  <si>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</si>
  <si>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</si>
  <si>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</si>
  <si>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30 м2</t>
  </si>
  <si>
    <t>1000 м2</t>
  </si>
  <si>
    <t>шт</t>
  </si>
  <si>
    <t>Реконструкция оборудования ТП-9 в части замены автоматического выключателя в РУ-0,4 кВ (1 шт.) по договору ТП № 08-043/005-ПС-23 в г. Сланцы ЛО</t>
  </si>
  <si>
    <t>1</t>
  </si>
  <si>
    <t>O_23-1-08-0-08-04-0-0739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</si>
</sst>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/>
    <xf numFmtId="0" fontId="22" fillId="0" borderId="0" xfId="0" applyFont="1"/>
    <xf numFmtId="4" fontId="22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2" fillId="0" borderId="0" xfId="10" applyNumberFormat="1" applyFont="1" applyBorder="1" applyAlignment="1">
      <alignment wrapText="1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B31" sqref="B31:O31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26.25" customHeight="1" x14ac:dyDescent="0.25">
      <c r="A5" s="186" t="s">
        <v>363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189" t="s">
        <v>365</v>
      </c>
      <c r="I7" s="189"/>
      <c r="J7" s="189"/>
      <c r="K7" s="189"/>
      <c r="L7" s="189"/>
      <c r="M7" s="189"/>
      <c r="N7" s="189"/>
      <c r="O7" s="189"/>
      <c r="P7" s="189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8" t="s">
        <v>77</v>
      </c>
      <c r="I9" s="188"/>
      <c r="J9" s="188"/>
      <c r="K9" s="188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7" t="s">
        <v>355</v>
      </c>
    </row>
    <row r="13" spans="1:22" s="4" customFormat="1" ht="39" customHeight="1" x14ac:dyDescent="0.25">
      <c r="A13" s="168" t="s">
        <v>6</v>
      </c>
      <c r="B13" s="168" t="s">
        <v>9</v>
      </c>
      <c r="C13" s="168" t="s">
        <v>334</v>
      </c>
      <c r="D13" s="168" t="s">
        <v>349</v>
      </c>
      <c r="E13" s="168"/>
      <c r="F13" s="168"/>
      <c r="G13" s="168"/>
      <c r="H13" s="168" t="s">
        <v>335</v>
      </c>
      <c r="I13" s="168" t="s">
        <v>348</v>
      </c>
      <c r="J13" s="168" t="s">
        <v>7</v>
      </c>
      <c r="K13" s="166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68"/>
      <c r="B14" s="168"/>
      <c r="C14" s="168"/>
      <c r="D14" s="136" t="s">
        <v>89</v>
      </c>
      <c r="E14" s="136" t="s">
        <v>91</v>
      </c>
      <c r="F14" s="136" t="s">
        <v>93</v>
      </c>
      <c r="G14" s="136" t="s">
        <v>318</v>
      </c>
      <c r="H14" s="168"/>
      <c r="I14" s="168"/>
      <c r="J14" s="168"/>
      <c r="K14" s="166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364</v>
      </c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362</v>
      </c>
      <c r="K16" s="156">
        <v>1</v>
      </c>
      <c r="L16" s="33">
        <f>(N16+O16)*0.04</f>
        <v>5499.7972760000011</v>
      </c>
      <c r="M16" s="33">
        <f>147300*K16</f>
        <v>147300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290294.72917599999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8348995.227599998</v>
      </c>
      <c r="I17" s="36">
        <f>VLOOKUP($B$16:$B$29,'Наименование работ'!B:R,17,)</f>
        <v>0</v>
      </c>
      <c r="J17" s="38" t="s">
        <v>353</v>
      </c>
      <c r="K17" s="156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360</v>
      </c>
      <c r="K18" s="156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249</v>
      </c>
      <c r="C19" s="37">
        <f>VLOOKUP($B$16:$B$29,'Наименование работ'!B:G,6,)</f>
        <v>49822.96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755254.92239999992</v>
      </c>
      <c r="I19" s="36">
        <f>VLOOKUP($B$16:$B$29,'Наименование работ'!B:R,17,)</f>
        <v>0</v>
      </c>
      <c r="J19" s="38" t="s">
        <v>361</v>
      </c>
      <c r="K19" s="156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352</v>
      </c>
      <c r="K20" s="156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56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56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2" t="s">
        <v>317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  <c r="P30" s="34">
        <f>SUM(M16:M29)</f>
        <v>147300</v>
      </c>
    </row>
    <row r="31" spans="1:22" ht="16.5" customHeight="1" x14ac:dyDescent="0.25">
      <c r="A31" s="141"/>
      <c r="B31" s="182" t="s">
        <v>2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  <c r="P31" s="35">
        <f>SUM(N16:N29)</f>
        <v>113299.77290000003</v>
      </c>
    </row>
    <row r="32" spans="1:22" ht="16.5" customHeight="1" x14ac:dyDescent="0.25">
      <c r="A32" s="141"/>
      <c r="B32" s="182" t="s">
        <v>3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4"/>
      <c r="P32" s="35">
        <f>SUM(O16:O29)</f>
        <v>24195.159</v>
      </c>
    </row>
    <row r="33" spans="1:21" ht="16.5" customHeight="1" x14ac:dyDescent="0.25">
      <c r="A33" s="141"/>
      <c r="B33" s="182" t="s">
        <v>346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4"/>
      <c r="P33" s="35">
        <f>SUM(L16:L29)</f>
        <v>5499.7972760000011</v>
      </c>
      <c r="Q33" s="32"/>
      <c r="R33" s="32"/>
    </row>
    <row r="34" spans="1:21" ht="16.5" customHeight="1" x14ac:dyDescent="0.25">
      <c r="A34" s="141"/>
      <c r="B34" s="163" t="s">
        <v>12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5"/>
      <c r="P34" s="34">
        <f>SUM(P30:P33)</f>
        <v>290294.72917600005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8" t="s">
        <v>0</v>
      </c>
      <c r="C38" s="168"/>
      <c r="D38" s="168"/>
      <c r="E38" s="168"/>
      <c r="F38" s="170" t="s">
        <v>337</v>
      </c>
      <c r="G38" s="170"/>
      <c r="H38" s="171"/>
      <c r="I38" s="176" t="s">
        <v>354</v>
      </c>
      <c r="J38" s="177"/>
      <c r="K38" s="166" t="s">
        <v>338</v>
      </c>
      <c r="L38" s="166"/>
      <c r="M38" s="166" t="s">
        <v>339</v>
      </c>
      <c r="N38" s="166"/>
      <c r="O38" s="160"/>
      <c r="P38" s="160"/>
      <c r="Q38" s="149"/>
      <c r="R38" s="149"/>
      <c r="S38" s="22"/>
      <c r="T38" s="22"/>
      <c r="U38" s="22"/>
    </row>
    <row r="39" spans="1:21" ht="16.5" customHeight="1" x14ac:dyDescent="0.25">
      <c r="A39" s="23">
        <v>1</v>
      </c>
      <c r="B39" s="169" t="s">
        <v>319</v>
      </c>
      <c r="C39" s="169"/>
      <c r="D39" s="169"/>
      <c r="E39" s="169"/>
      <c r="F39" s="172">
        <f>P33+P30</f>
        <v>152799.797276</v>
      </c>
      <c r="G39" s="172"/>
      <c r="H39" s="173"/>
      <c r="I39" s="178">
        <f>VLOOKUP(H9,O39:P43,2,)</f>
        <v>1.04761984318213</v>
      </c>
      <c r="J39" s="179"/>
      <c r="K39" s="167">
        <f>F39*$I$39</f>
        <v>160076.09966054437</v>
      </c>
      <c r="L39" s="167"/>
      <c r="M39" s="167">
        <f>K39*1.2</f>
        <v>192091.31959265322</v>
      </c>
      <c r="N39" s="167"/>
      <c r="O39" s="145" t="s">
        <v>74</v>
      </c>
      <c r="P39" s="146">
        <v>1.147</v>
      </c>
      <c r="Q39" s="150"/>
      <c r="R39" s="150"/>
      <c r="S39" s="22"/>
      <c r="T39" s="22"/>
      <c r="U39" s="22"/>
    </row>
    <row r="40" spans="1:21" ht="16.5" customHeight="1" x14ac:dyDescent="0.25">
      <c r="A40" s="23">
        <v>2</v>
      </c>
      <c r="B40" s="169" t="s">
        <v>2</v>
      </c>
      <c r="C40" s="169"/>
      <c r="D40" s="169"/>
      <c r="E40" s="169"/>
      <c r="F40" s="174">
        <f>P31</f>
        <v>113299.77290000003</v>
      </c>
      <c r="G40" s="174"/>
      <c r="H40" s="175"/>
      <c r="I40" s="180"/>
      <c r="J40" s="181"/>
      <c r="K40" s="167">
        <f t="shared" ref="K40:K41" si="11">F40*$I$39</f>
        <v>118695.09031806896</v>
      </c>
      <c r="L40" s="167"/>
      <c r="M40" s="167">
        <f>K40*1.2</f>
        <v>142434.10838168274</v>
      </c>
      <c r="N40" s="167"/>
      <c r="O40" s="145" t="s">
        <v>75</v>
      </c>
      <c r="P40" s="146">
        <v>1.06968874824043</v>
      </c>
      <c r="Q40" s="150"/>
      <c r="R40" s="150"/>
      <c r="S40" s="22"/>
      <c r="T40" s="22"/>
      <c r="U40" s="22"/>
    </row>
    <row r="41" spans="1:21" ht="16.5" customHeight="1" x14ac:dyDescent="0.25">
      <c r="A41" s="23">
        <v>3</v>
      </c>
      <c r="B41" s="169" t="s">
        <v>3</v>
      </c>
      <c r="C41" s="169"/>
      <c r="D41" s="169"/>
      <c r="E41" s="169"/>
      <c r="F41" s="174">
        <f>P32</f>
        <v>24195.159</v>
      </c>
      <c r="G41" s="174"/>
      <c r="H41" s="175"/>
      <c r="I41" s="180"/>
      <c r="J41" s="181"/>
      <c r="K41" s="167">
        <f t="shared" si="11"/>
        <v>25347.328677346701</v>
      </c>
      <c r="L41" s="167"/>
      <c r="M41" s="167">
        <f t="shared" ref="M41" si="12">K41*1.2</f>
        <v>30416.794412816038</v>
      </c>
      <c r="N41" s="167"/>
      <c r="O41" s="145" t="s">
        <v>76</v>
      </c>
      <c r="P41" s="146">
        <v>1.0527260918901</v>
      </c>
      <c r="Q41" s="150"/>
      <c r="R41" s="150"/>
      <c r="S41" s="22"/>
      <c r="T41" s="22"/>
      <c r="U41" s="22"/>
    </row>
    <row r="42" spans="1:21" ht="16.5" customHeight="1" x14ac:dyDescent="0.25">
      <c r="A42" s="23">
        <v>4</v>
      </c>
      <c r="B42" s="169" t="s">
        <v>4</v>
      </c>
      <c r="C42" s="169"/>
      <c r="D42" s="169"/>
      <c r="E42" s="169"/>
      <c r="F42" s="174"/>
      <c r="G42" s="174"/>
      <c r="H42" s="175"/>
      <c r="I42" s="180"/>
      <c r="J42" s="181"/>
      <c r="K42" s="194">
        <f>SUM(F43:H45)*$I$39</f>
        <v>27831.067561668195</v>
      </c>
      <c r="L42" s="195"/>
      <c r="M42" s="194">
        <f>K42*1.2</f>
        <v>33397.281074001832</v>
      </c>
      <c r="N42" s="195"/>
      <c r="O42" s="145" t="s">
        <v>77</v>
      </c>
      <c r="P42" s="146">
        <v>1.04761984318213</v>
      </c>
      <c r="Q42" s="150"/>
      <c r="R42" s="150"/>
      <c r="S42" s="22"/>
      <c r="T42" s="22"/>
      <c r="U42" s="22"/>
    </row>
    <row r="43" spans="1:21" ht="15.75" customHeight="1" x14ac:dyDescent="0.25">
      <c r="A43" s="137" t="s">
        <v>78</v>
      </c>
      <c r="B43" s="200" t="s">
        <v>356</v>
      </c>
      <c r="C43" s="200"/>
      <c r="D43" s="200"/>
      <c r="E43" s="200"/>
      <c r="F43" s="198">
        <f>SUM(F39:H41)/100*P45</f>
        <v>3478.4698011461578</v>
      </c>
      <c r="G43" s="198"/>
      <c r="H43" s="199"/>
      <c r="I43" s="180"/>
      <c r="J43" s="181"/>
      <c r="K43" s="196"/>
      <c r="L43" s="197"/>
      <c r="M43" s="196"/>
      <c r="N43" s="197"/>
      <c r="O43" s="161" t="s">
        <v>359</v>
      </c>
      <c r="P43" s="146">
        <f>1.0457995653007*P42</f>
        <v>1.0956003766002589</v>
      </c>
      <c r="Q43" s="150"/>
      <c r="R43" s="158"/>
      <c r="S43" s="22"/>
      <c r="T43" s="22"/>
      <c r="U43" s="22"/>
    </row>
    <row r="44" spans="1:21" ht="15.75" customHeight="1" x14ac:dyDescent="0.25">
      <c r="A44" s="137" t="s">
        <v>79</v>
      </c>
      <c r="B44" s="200" t="s">
        <v>358</v>
      </c>
      <c r="C44" s="200"/>
      <c r="D44" s="200"/>
      <c r="E44" s="200"/>
      <c r="F44" s="198">
        <f>SUM(F39:H41)/100*P46</f>
        <v>3637.7822059502641</v>
      </c>
      <c r="G44" s="198"/>
      <c r="H44" s="199"/>
      <c r="I44" s="180"/>
      <c r="J44" s="181"/>
      <c r="K44" s="196"/>
      <c r="L44" s="197"/>
      <c r="M44" s="196"/>
      <c r="N44" s="197"/>
      <c r="O44" s="154"/>
      <c r="P44" s="146">
        <f>1.0457995653007*P43</f>
        <v>1.1457783975918339</v>
      </c>
      <c r="Q44" s="150"/>
      <c r="R44" s="158"/>
      <c r="S44" s="22"/>
      <c r="T44" s="22"/>
      <c r="U44" s="22"/>
    </row>
    <row r="45" spans="1:21" ht="15.75" customHeight="1" x14ac:dyDescent="0.25">
      <c r="A45" s="137" t="s">
        <v>80</v>
      </c>
      <c r="B45" s="201" t="s">
        <v>357</v>
      </c>
      <c r="C45" s="201"/>
      <c r="D45" s="201"/>
      <c r="E45" s="201"/>
      <c r="F45" s="198">
        <f>SUM(F39:H41)/100*P47</f>
        <v>19449.746854792</v>
      </c>
      <c r="G45" s="198"/>
      <c r="H45" s="199"/>
      <c r="I45" s="180"/>
      <c r="J45" s="181"/>
      <c r="K45" s="196"/>
      <c r="L45" s="197"/>
      <c r="M45" s="196"/>
      <c r="N45" s="197"/>
      <c r="O45" s="154"/>
      <c r="P45" s="146">
        <f>1.0457995653007*P44</f>
        <v>1.1982545501324724</v>
      </c>
      <c r="Q45" s="150"/>
      <c r="R45" s="158"/>
      <c r="S45" s="22"/>
      <c r="T45" s="22"/>
      <c r="U45" s="22"/>
    </row>
    <row r="46" spans="1:21" ht="14.25" customHeight="1" x14ac:dyDescent="0.25">
      <c r="A46" s="202" t="s">
        <v>81</v>
      </c>
      <c r="B46" s="202"/>
      <c r="C46" s="202"/>
      <c r="D46" s="202"/>
      <c r="E46" s="202"/>
      <c r="F46" s="193">
        <f>SUM(F39:H45)</f>
        <v>316860.72803788836</v>
      </c>
      <c r="G46" s="193"/>
      <c r="H46" s="193"/>
      <c r="I46" s="193"/>
      <c r="J46" s="193"/>
      <c r="K46" s="192">
        <f>SUM(K39:L45)</f>
        <v>331949.58621762821</v>
      </c>
      <c r="L46" s="192"/>
      <c r="M46" s="192">
        <f>SUM(M39:N45)</f>
        <v>398339.50346115383</v>
      </c>
      <c r="N46" s="192"/>
      <c r="O46" s="161"/>
      <c r="P46" s="146">
        <f>1.0457995653007*P45</f>
        <v>1.2531340876481254</v>
      </c>
      <c r="Q46" s="151"/>
      <c r="R46" s="159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1"/>
      <c r="P47" s="155">
        <v>6.7</v>
      </c>
      <c r="Q47" s="152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47"/>
      <c r="P48" s="148"/>
      <c r="Q48" s="153"/>
      <c r="R48" s="55"/>
      <c r="S48" s="46"/>
      <c r="T48" s="47"/>
      <c r="U48" s="56"/>
    </row>
    <row r="49" spans="1:21" s="26" customFormat="1" ht="39.75" customHeight="1" x14ac:dyDescent="0.25">
      <c r="A49" s="64"/>
      <c r="B49" s="191" t="s">
        <v>342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47"/>
      <c r="P49" s="148"/>
      <c r="Q49" s="153"/>
      <c r="R49" s="55"/>
      <c r="S49" s="46"/>
      <c r="T49" s="47"/>
      <c r="U49" s="56"/>
    </row>
    <row r="50" spans="1:21" s="26" customFormat="1" ht="28.5" customHeight="1" x14ac:dyDescent="0.25">
      <c r="A50" s="64"/>
      <c r="B50" s="191" t="s">
        <v>345</v>
      </c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52"/>
      <c r="P50" s="53"/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0" t="s">
        <v>343</v>
      </c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52"/>
      <c r="P51" s="53"/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0" t="s">
        <v>344</v>
      </c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52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45" activePane="bottomLeft" state="frozen"/>
      <selection pane="bottomLeft" activeCell="G69" sqref="G69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2024-03-15T11:55:28Z</dcterms:modified>
</cp:coreProperties>
</file>