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7-0-08-04-0-0348\"/>
    </mc:Choice>
  </mc:AlternateContent>
  <xr:revisionPtr revIDLastSave="0" documentId="13_ncr:1_{79F1D782-3BB6-4196-9ED6-2BBDDB2CF91C}" xr6:coauthVersionLast="36" xr6:coauthVersionMax="36" xr10:uidLastSave="{00000000-0000-0000-0000-000000000000}"/>
  <bookViews>
    <workbookView xWindow="0" yWindow="0" windowWidth="28800" windowHeight="12225" tabRatio="411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N186" i="5"/>
  <c r="E186" i="5"/>
  <c r="P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N159" i="5"/>
  <c r="H159" i="5"/>
  <c r="E159" i="5"/>
  <c r="C159" i="5" s="1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N82" i="5"/>
  <c r="H82" i="5"/>
  <c r="E82" i="5"/>
  <c r="P82" i="5" s="1"/>
  <c r="N81" i="5"/>
  <c r="E81" i="5"/>
  <c r="P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P159" i="5" l="1"/>
  <c r="C83" i="5"/>
  <c r="L83" i="5" s="1"/>
  <c r="I83" i="5" s="1"/>
  <c r="J83" i="5" s="1"/>
  <c r="C152" i="5"/>
  <c r="L152" i="5" s="1"/>
  <c r="P95" i="5"/>
  <c r="C80" i="5"/>
  <c r="L80" i="5" s="1"/>
  <c r="C174" i="5"/>
  <c r="L174" i="5" s="1"/>
  <c r="P177" i="5"/>
  <c r="C186" i="5"/>
  <c r="L186" i="5" s="1"/>
  <c r="I186" i="5" s="1"/>
  <c r="J186" i="5" s="1"/>
  <c r="P145" i="5"/>
  <c r="C98" i="5"/>
  <c r="L98" i="5" s="1"/>
  <c r="I98" i="5" s="1"/>
  <c r="J98" i="5" s="1"/>
  <c r="C116" i="5"/>
  <c r="L116" i="5" s="1"/>
  <c r="I116" i="5" s="1"/>
  <c r="J116" i="5" s="1"/>
  <c r="C167" i="5"/>
  <c r="L167" i="5" s="1"/>
  <c r="I167" i="5" s="1"/>
  <c r="J167" i="5" s="1"/>
  <c r="P4" i="5"/>
  <c r="I4" i="5" s="1"/>
  <c r="J4" i="5" s="1"/>
  <c r="P148" i="5"/>
  <c r="I54" i="5"/>
  <c r="J54" i="5" s="1"/>
  <c r="C3" i="5"/>
  <c r="L3" i="5" s="1"/>
  <c r="I3" i="5" s="1"/>
  <c r="J3" i="5" s="1"/>
  <c r="C8" i="5"/>
  <c r="L8" i="5" s="1"/>
  <c r="I8" i="5" s="1"/>
  <c r="J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C88" i="5"/>
  <c r="L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I102" i="5" s="1"/>
  <c r="J102" i="5" s="1"/>
  <c r="C105" i="5"/>
  <c r="L105" i="5" s="1"/>
  <c r="I105" i="5" s="1"/>
  <c r="J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I150" i="5" s="1"/>
  <c r="J150" i="5" s="1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J292" i="5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29" i="5"/>
  <c r="J29" i="5" s="1"/>
  <c r="I43" i="5"/>
  <c r="J43" i="5" s="1"/>
  <c r="I51" i="5"/>
  <c r="J51" i="5" s="1"/>
  <c r="I119" i="5"/>
  <c r="J119" i="5" s="1"/>
  <c r="I138" i="5"/>
  <c r="J138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145" i="5"/>
  <c r="J145" i="5" s="1"/>
  <c r="I148" i="5"/>
  <c r="J148" i="5" s="1"/>
  <c r="I149" i="5"/>
  <c r="J149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17" i="4" l="1"/>
  <c r="H20" i="4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20" i="4"/>
  <c r="L20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<sst xmlns="http://schemas.openxmlformats.org/spreadsheetml/2006/main" count="405" uniqueCount="365">
  <si>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</si>
  <si>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</si>
  <si>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</si>
  <si>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</si>
  <si>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</si>
  <si>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</si>
  <si>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</si>
  <si>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</si>
  <si>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</si>
  <si>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</si>
  <si>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</si>
  <si>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</si>
  <si>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</si>
  <si>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</si>
  <si>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</si>
  <si>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</si>
  <si>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</si>
  <si>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</si>
  <si>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</si>
  <si>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</si>
  <si>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</si>
  <si>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</si>
  <si>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</si>
  <si>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</si>
  <si>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</si>
  <si>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</si>
  <si>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</si>
  <si>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</si>
  <si>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</si>
  <si>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</si>
  <si>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</si>
  <si>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</si>
  <si>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</si>
  <si>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</si>
  <si>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</si>
  <si>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</si>
  <si>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</si>
  <si>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</si>
  <si>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</si>
  <si>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</si>
  <si>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</si>
  <si>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</si>
  <si>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</si>
  <si>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</si>
  <si>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</si>
  <si>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</si>
  <si>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</si>
  <si>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</si>
  <si>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</si>
  <si>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</si>
  <si>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</si>
  <si>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</si>
  <si>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</si>
  <si>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</si>
  <si>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</si>
  <si>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</si>
  <si>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</si>
  <si>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</si>
  <si>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</si>
  <si>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</si>
  <si>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</si>
  <si>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</si>
  <si>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</si>
  <si>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</si>
  <si>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</si>
  <si>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</si>
  <si>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</si>
  <si>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</si>
  <si>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</si>
  <si>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</si>
  <si>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</si>
  <si>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</si>
  <si>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</si>
  <si>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</si>
  <si>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</si>
  <si>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</si>
  <si>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</si>
  <si>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</si>
  <si>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</si>
  <si>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</si>
  <si>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</si>
  <si>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</si>
  <si>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</si>
  <si>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</si>
  <si>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</si>
  <si>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</si>
  <si>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</si>
  <si>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</si>
  <si>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</si>
  <si>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</si>
  <si>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</si>
  <si>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</si>
  <si>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</si>
  <si>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</si>
  <si>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</si>
  <si>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</si>
  <si>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</si>
  <si>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</si>
  <si>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</si>
  <si>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</si>
  <si>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</si>
  <si>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</si>
  <si>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</si>
  <si>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</si>
  <si>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</si>
  <si>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</si>
  <si>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</si>
  <si>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</si>
  <si>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</si>
  <si>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</si>
  <si>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</si>
  <si>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</si>
  <si>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</si>
  <si>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</si>
  <si>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</si>
  <si>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</si>
  <si>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</si>
  <si>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</si>
  <si>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</si>
  <si>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</si>
  <si>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</si>
  <si>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</si>
  <si>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</si>
  <si>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</si>
  <si>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</si>
  <si>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</si>
  <si>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</si>
  <si>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</si>
  <si>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</si>
  <si>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</si>
  <si>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</si>
  <si>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</si>
  <si>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</si>
  <si>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</si>
  <si>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</si>
  <si>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</si>
  <si>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</si>
  <si>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</si>
  <si>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</si>
  <si>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</si>
  <si>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</si>
  <si>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</si>
  <si>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</si>
  <si>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</si>
  <si>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</si>
  <si>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</si>
  <si>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</si>
  <si>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</si>
  <si>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</si>
  <si>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</si>
  <si>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</si>
  <si>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</si>
  <si>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</si>
  <si>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</si>
  <si>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</si>
  <si>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</si>
  <si>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</si>
  <si>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</si>
  <si>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</si>
  <si>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</si>
  <si>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</si>
  <si>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</si>
  <si>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</si>
  <si>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</si>
  <si>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</si>
  <si>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</si>
  <si>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</si>
  <si>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</si>
  <si>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</si>
  <si>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</si>
  <si>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</si>
  <si>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</si>
  <si>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</si>
  <si>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</si>
  <si>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</si>
  <si>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</si>
  <si>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</si>
  <si>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</si>
  <si>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</si>
  <si>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</si>
  <si>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</si>
  <si>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</si>
  <si>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</si>
  <si>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</si>
  <si>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</si>
  <si>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</si>
  <si>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</si>
  <si>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</si>
  <si>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</si>
  <si>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</si>
  <si>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</si>
  <si>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</si>
  <si>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</si>
  <si>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</si>
  <si>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</si>
  <si>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</si>
  <si>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</si>
  <si>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</si>
  <si>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</si>
  <si>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</si>
  <si>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</si>
  <si>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</si>
  <si>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</si>
  <si>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</si>
  <si>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</si>
  <si>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</si>
  <si>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</si>
  <si>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</si>
  <si>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</si>
  <si>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</si>
  <si>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</si>
  <si>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</si>
  <si>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</si>
  <si>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</si>
  <si>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</si>
  <si>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</si>
  <si>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</si>
  <si>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</si>
  <si>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</si>
  <si>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</si>
  <si>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</si>
  <si>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</si>
  <si>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</si>
  <si>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</si>
  <si>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</si>
  <si>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</si>
  <si>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</si>
  <si>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</si>
  <si>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</si>
  <si>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</si>
  <si>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</si>
  <si>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</si>
  <si>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</si>
  <si>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</si>
  <si>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</si>
  <si>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</si>
  <si>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</si>
  <si>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</si>
  <si>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</si>
  <si>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</si>
  <si>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</si>
  <si>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</si>
  <si>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</si>
  <si>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</si>
  <si>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</si>
  <si>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</si>
  <si>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</si>
  <si>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</si>
  <si>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</si>
  <si>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</si>
  <si>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</si>
  <si>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</si>
  <si>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</si>
  <si>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</si>
  <si>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</si>
  <si>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</si>
  <si>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</si>
  <si>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</si>
  <si>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</si>
  <si>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</si>
  <si>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</si>
  <si>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</si>
  <si>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</si>
  <si>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</si>
  <si>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</si>
  <si>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</si>
  <si>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</si>
  <si>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</si>
  <si>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</si>
  <si>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</si>
  <si>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</si>
  <si>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</si>
  <si>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</si>
  <si>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</si>
  <si>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</si>
  <si>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</si>
  <si>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</si>
  <si>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</si>
  <si>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</si>
  <si>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</si>
  <si>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</si>
  <si>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</si>
  <si>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</si>
  <si>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</si>
  <si>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</si>
  <si>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</si>
  <si>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</si>
  <si>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</si>
  <si>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</si>
  <si>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</si>
  <si>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</si>
  <si>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</si>
  <si>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</si>
  <si>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</si>
  <si>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</si>
  <si>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</si>
  <si>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</si>
  <si>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</si>
  <si>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</si>
  <si>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</si>
  <si>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</si>
  <si>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</si>
  <si>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</si>
  <si>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</si>
  <si>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</si>
  <si>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</si>
  <si>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</si>
  <si>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</si>
  <si>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</si>
  <si>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</si>
  <si>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</si>
  <si>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</si>
  <si>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</si>
  <si>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</si>
  <si>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</si>
  <si>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</si>
  <si>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</si>
  <si>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</si>
  <si>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</si>
  <si>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</si>
  <si>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</si>
  <si>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</si>
  <si>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</si>
  <si>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</si>
  <si>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</si>
  <si>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</si>
  <si>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</si>
  <si>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</si>
  <si>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</si>
  <si>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</si>
  <si>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</si>
  <si>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</si>
  <si>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</si>
  <si>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</si>
  <si>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</si>
  <si>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</si>
  <si>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</si>
  <si>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</si>
  <si>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</si>
  <si>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</si>
  <si>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</si>
  <si>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</si>
  <si>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</si>
  <si>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</si>
  <si>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</si>
  <si>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</si>
  <si>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</si>
  <si>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</si>
  <si>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</si>
  <si>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</si>
  <si>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</si>
  <si>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</si>
  <si>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</si>
  <si>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</si>
  <si>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</si>
  <si>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</si>
  <si>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</si>
  <si>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</si>
  <si>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</si>
  <si>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</si>
  <si>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</si>
  <si>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</si>
  <si>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</si>
  <si>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Реконструкция оборудования ТП-378 в части замены трансформатора 2,5 МВА на 3,2 МВА по договору ТП №17-044/005-ПС-22 в д. Янино Всеволожского района ЛО</t>
  </si>
  <si>
    <t>O_23-1-17-0-08-04-0-0348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</si>
</sst>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70" zoomScaleNormal="85" zoomScaleSheetLayoutView="70" workbookViewId="0">
      <selection activeCell="V38" sqref="V38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7" t="s">
        <v>363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</row>
    <row r="6" spans="1:22" ht="10.5" customHeight="1" x14ac:dyDescent="0.25"/>
    <row r="7" spans="1:22" ht="13.5" customHeight="1" x14ac:dyDescent="0.25">
      <c r="A7" s="6" t="s">
        <v>5</v>
      </c>
      <c r="H7" s="204" t="s">
        <v>364</v>
      </c>
      <c r="I7" s="204"/>
      <c r="J7" s="204"/>
      <c r="K7" s="204"/>
      <c r="L7" s="204"/>
      <c r="M7" s="204"/>
      <c r="N7" s="204"/>
      <c r="O7" s="204"/>
      <c r="P7" s="20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89" t="s">
        <v>76</v>
      </c>
      <c r="I9" s="189"/>
      <c r="J9" s="189"/>
      <c r="K9" s="189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69" t="s">
        <v>6</v>
      </c>
      <c r="B13" s="169" t="s">
        <v>9</v>
      </c>
      <c r="C13" s="169" t="s">
        <v>334</v>
      </c>
      <c r="D13" s="169" t="s">
        <v>349</v>
      </c>
      <c r="E13" s="169"/>
      <c r="F13" s="169"/>
      <c r="G13" s="169"/>
      <c r="H13" s="169" t="s">
        <v>335</v>
      </c>
      <c r="I13" s="169" t="s">
        <v>348</v>
      </c>
      <c r="J13" s="169" t="s">
        <v>7</v>
      </c>
      <c r="K13" s="167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6" t="s">
        <v>337</v>
      </c>
      <c r="Q13" s="24"/>
    </row>
    <row r="14" spans="1:22" ht="38.25" customHeight="1" x14ac:dyDescent="0.25">
      <c r="A14" s="169"/>
      <c r="B14" s="169"/>
      <c r="C14" s="169"/>
      <c r="D14" s="136" t="s">
        <v>89</v>
      </c>
      <c r="E14" s="136" t="s">
        <v>91</v>
      </c>
      <c r="F14" s="136" t="s">
        <v>93</v>
      </c>
      <c r="G14" s="136" t="s">
        <v>318</v>
      </c>
      <c r="H14" s="169"/>
      <c r="I14" s="169"/>
      <c r="J14" s="169"/>
      <c r="K14" s="167"/>
      <c r="L14" s="136" t="s">
        <v>1</v>
      </c>
      <c r="M14" s="136" t="s">
        <v>317</v>
      </c>
      <c r="N14" s="136" t="s">
        <v>2</v>
      </c>
      <c r="O14" s="136" t="s">
        <v>3</v>
      </c>
      <c r="P14" s="186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39"/>
      <c r="R15" s="139"/>
      <c r="S15" s="139"/>
      <c r="T15" s="139"/>
      <c r="U15" s="39"/>
      <c r="V15" s="17"/>
    </row>
    <row r="16" spans="1:22" ht="28.5" customHeight="1" x14ac:dyDescent="0.25">
      <c r="A16" s="10"/>
      <c r="B16" s="40" t="s">
        <v>135</v>
      </c>
      <c r="C16" s="37">
        <f>VLOOKUP($B$16:$B$29,'Наименование работ'!B:G,6,)</f>
        <v>352338.9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10.17</v>
      </c>
      <c r="F16" s="37">
        <f>VLOOKUP($B$16:$B$29,'Наименование работ'!B:O,14,)</f>
        <v>7.86</v>
      </c>
      <c r="G16" s="37">
        <f>VLOOKUP($B$16:$B$29,'Наименование работ'!B:Q,16,)</f>
        <v>6.33</v>
      </c>
      <c r="H16" s="36">
        <f>VLOOKUP(B16:B29,'Наименование работ'!B:S,18,)</f>
        <v>894941.67380000046</v>
      </c>
      <c r="I16" s="36">
        <f>VLOOKUP($B$16:$B$29,'Наименование работ'!B:R,17,)</f>
        <v>1912653.0504000001</v>
      </c>
      <c r="J16" s="38" t="s">
        <v>352</v>
      </c>
      <c r="K16" s="149">
        <v>2</v>
      </c>
      <c r="L16" s="33">
        <f>(N16+O16)*0.04</f>
        <v>224607.57793600005</v>
      </c>
      <c r="M16" s="33">
        <f>147300*K16</f>
        <v>294600</v>
      </c>
      <c r="N16" s="34">
        <f>K16*H16</f>
        <v>1789883.3476000009</v>
      </c>
      <c r="O16" s="34">
        <f>K16*I16</f>
        <v>3825306.1008000001</v>
      </c>
      <c r="P16" s="34">
        <f t="shared" ref="P16" si="0">SUM(L16:O16)</f>
        <v>6134397.0263360012</v>
      </c>
      <c r="Q16" s="25"/>
      <c r="R16" s="25"/>
      <c r="S16" s="25"/>
      <c r="T16" s="25"/>
      <c r="U16" s="20"/>
      <c r="V16" s="17"/>
    </row>
    <row r="17" spans="1:22" ht="30" customHeight="1" x14ac:dyDescent="0.25">
      <c r="A17" s="10"/>
      <c r="B17" s="40" t="s">
        <v>154</v>
      </c>
      <c r="C17" s="37">
        <f>VLOOKUP($B$16:$B$29,'Наименование работ'!B:G,6,)</f>
        <v>9949.2900000000009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10.17</v>
      </c>
      <c r="F17" s="37">
        <f>VLOOKUP($B$16:$B$29,'Наименование работ'!B:O,14,)</f>
        <v>7.86</v>
      </c>
      <c r="G17" s="37">
        <f>VLOOKUP($B$16:$B$29,'Наименование работ'!B:Q,16,)</f>
        <v>6.33</v>
      </c>
      <c r="H17" s="36">
        <f>VLOOKUP(B17:B30,'Наименование работ'!B:S,18,)</f>
        <v>113299.77290000003</v>
      </c>
      <c r="I17" s="36">
        <f>VLOOKUP($B$16:$B$29,'Наименование работ'!B:R,17,)</f>
        <v>24195.159</v>
      </c>
      <c r="J17" s="38" t="s">
        <v>352</v>
      </c>
      <c r="K17" s="149">
        <v>2</v>
      </c>
      <c r="L17" s="33">
        <f>(N17+O17)*0.04</f>
        <v>10999.594552000002</v>
      </c>
      <c r="M17" s="33">
        <f t="shared" ref="M17:M29" si="1">147300*K17</f>
        <v>294600</v>
      </c>
      <c r="N17" s="34">
        <f t="shared" ref="N17:N29" si="2">K17*H17</f>
        <v>226599.54580000005</v>
      </c>
      <c r="O17" s="34">
        <f t="shared" ref="O17:O29" si="3">K17*I17</f>
        <v>48390.317999999999</v>
      </c>
      <c r="P17" s="34">
        <f t="shared" ref="P17" si="4">SUM(L17:O17)</f>
        <v>580589.45835199999</v>
      </c>
      <c r="Q17" s="25"/>
      <c r="R17" s="25"/>
      <c r="S17" s="25"/>
      <c r="T17" s="25"/>
      <c r="U17" s="20"/>
      <c r="V17" s="17"/>
    </row>
    <row r="18" spans="1:22" ht="24" hidden="1" customHeight="1" x14ac:dyDescent="0.25">
      <c r="A18" s="10"/>
      <c r="B18" s="40" t="s">
        <v>330</v>
      </c>
      <c r="C18" s="37">
        <f>VLOOKUP($B$16:$B$29,'Наименование работ'!B:G,6,)</f>
        <v>0</v>
      </c>
      <c r="D18" s="37">
        <f>VLOOKUP($B$16:$B$29,'Наименование работ'!B:K,10,)</f>
        <v>0</v>
      </c>
      <c r="E18" s="37">
        <f>VLOOKUP($B$16:$B$29,'Наименование работ'!B:M,12,)</f>
        <v>0</v>
      </c>
      <c r="F18" s="37">
        <f>VLOOKUP($B$16:$B$29,'Наименование работ'!B:O,14,)</f>
        <v>0</v>
      </c>
      <c r="G18" s="37">
        <f>VLOOKUP($B$16:$B$29,'Наименование работ'!B:Q,16,)</f>
        <v>0</v>
      </c>
      <c r="H18" s="36">
        <f>VLOOKUP(B18:B31,'Наименование работ'!B:S,18,)</f>
        <v>0</v>
      </c>
      <c r="I18" s="36">
        <f>VLOOKUP($B$16:$B$29,'Наименование работ'!B:R,17,)</f>
        <v>0</v>
      </c>
      <c r="J18" s="38" t="s">
        <v>353</v>
      </c>
      <c r="K18" s="149">
        <v>0</v>
      </c>
      <c r="L18" s="33">
        <f t="shared" ref="L18:L29" si="5">(N18+O18)*0.08</f>
        <v>0</v>
      </c>
      <c r="M18" s="33">
        <f t="shared" si="1"/>
        <v>0</v>
      </c>
      <c r="N18" s="34">
        <f t="shared" si="2"/>
        <v>0</v>
      </c>
      <c r="O18" s="34">
        <f t="shared" si="3"/>
        <v>0</v>
      </c>
      <c r="P18" s="34">
        <f t="shared" ref="P18" si="6">SUM(L18:O18)</f>
        <v>0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353</v>
      </c>
      <c r="K19" s="149">
        <v>0</v>
      </c>
      <c r="L19" s="33">
        <f>(N19+O19)*0.04</f>
        <v>0</v>
      </c>
      <c r="M19" s="33">
        <f t="shared" si="1"/>
        <v>0</v>
      </c>
      <c r="N19" s="34">
        <f t="shared" si="2"/>
        <v>0</v>
      </c>
      <c r="O19" s="34">
        <f t="shared" si="3"/>
        <v>0</v>
      </c>
      <c r="P19" s="34">
        <f t="shared" ref="P19:P23" si="7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si="1"/>
        <v>0</v>
      </c>
      <c r="N20" s="34">
        <f t="shared" si="2"/>
        <v>0</v>
      </c>
      <c r="O20" s="34">
        <f t="shared" si="3"/>
        <v>0</v>
      </c>
      <c r="P20" s="34">
        <f t="shared" si="7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1"/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si="5"/>
        <v>0</v>
      </c>
      <c r="M22" s="33">
        <f t="shared" si="1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5"/>
        <v>0</v>
      </c>
      <c r="M23" s="33">
        <f t="shared" si="1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5"/>
        <v>0</v>
      </c>
      <c r="M24" s="33">
        <f t="shared" si="1"/>
        <v>0</v>
      </c>
      <c r="N24" s="34">
        <f t="shared" ref="N24:N28" si="8">K24*H24</f>
        <v>0</v>
      </c>
      <c r="O24" s="34">
        <f t="shared" si="3"/>
        <v>0</v>
      </c>
      <c r="P24" s="34">
        <f t="shared" ref="P24:P28" si="9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5"/>
        <v>0</v>
      </c>
      <c r="M25" s="33">
        <f t="shared" si="1"/>
        <v>0</v>
      </c>
      <c r="N25" s="34">
        <f t="shared" si="8"/>
        <v>0</v>
      </c>
      <c r="O25" s="34">
        <f t="shared" si="3"/>
        <v>0</v>
      </c>
      <c r="P25" s="34">
        <f t="shared" si="9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5"/>
        <v>0</v>
      </c>
      <c r="M26" s="33">
        <f t="shared" si="1"/>
        <v>0</v>
      </c>
      <c r="N26" s="34">
        <f t="shared" si="8"/>
        <v>0</v>
      </c>
      <c r="O26" s="34">
        <f t="shared" si="3"/>
        <v>0</v>
      </c>
      <c r="P26" s="34">
        <f t="shared" si="9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5"/>
        <v>0</v>
      </c>
      <c r="M27" s="33">
        <f t="shared" si="1"/>
        <v>0</v>
      </c>
      <c r="N27" s="34">
        <f t="shared" si="8"/>
        <v>0</v>
      </c>
      <c r="O27" s="34">
        <f t="shared" si="3"/>
        <v>0</v>
      </c>
      <c r="P27" s="34">
        <f t="shared" si="9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5"/>
        <v>0</v>
      </c>
      <c r="M28" s="33">
        <f t="shared" si="1"/>
        <v>0</v>
      </c>
      <c r="N28" s="34">
        <f t="shared" si="8"/>
        <v>0</v>
      </c>
      <c r="O28" s="34">
        <f t="shared" si="3"/>
        <v>0</v>
      </c>
      <c r="P28" s="34">
        <f t="shared" si="9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5"/>
        <v>0</v>
      </c>
      <c r="M29" s="33">
        <f t="shared" si="1"/>
        <v>0</v>
      </c>
      <c r="N29" s="34">
        <f t="shared" si="2"/>
        <v>0</v>
      </c>
      <c r="O29" s="34">
        <f t="shared" si="3"/>
        <v>0</v>
      </c>
      <c r="P29" s="34">
        <f t="shared" ref="P29" si="10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3" t="s">
        <v>317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  <c r="P30" s="34">
        <f>SUM(M16:M29)</f>
        <v>589200</v>
      </c>
    </row>
    <row r="31" spans="1:22" ht="16.5" customHeight="1" x14ac:dyDescent="0.25">
      <c r="A31" s="141"/>
      <c r="B31" s="183" t="s">
        <v>2</v>
      </c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5"/>
      <c r="P31" s="35">
        <f>SUM(N16:N29)</f>
        <v>2016482.8934000009</v>
      </c>
    </row>
    <row r="32" spans="1:22" ht="16.5" customHeight="1" x14ac:dyDescent="0.25">
      <c r="A32" s="141"/>
      <c r="B32" s="183" t="s">
        <v>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5"/>
      <c r="P32" s="35">
        <f>SUM(O16:O29)</f>
        <v>3873696.4188000001</v>
      </c>
    </row>
    <row r="33" spans="1:21" ht="16.5" customHeight="1" x14ac:dyDescent="0.25">
      <c r="A33" s="141"/>
      <c r="B33" s="183" t="s">
        <v>346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5"/>
      <c r="P33" s="35">
        <f>SUM(L16:L29)</f>
        <v>235607.17248800004</v>
      </c>
      <c r="Q33" s="32"/>
      <c r="R33" s="32"/>
    </row>
    <row r="34" spans="1:21" ht="16.5" customHeight="1" x14ac:dyDescent="0.25">
      <c r="A34" s="141"/>
      <c r="B34" s="164" t="s">
        <v>12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6"/>
      <c r="P34" s="34">
        <f>SUM(P30:P33)</f>
        <v>6714986.4846880008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69" t="s">
        <v>0</v>
      </c>
      <c r="C38" s="169"/>
      <c r="D38" s="169"/>
      <c r="E38" s="169"/>
      <c r="F38" s="171" t="s">
        <v>337</v>
      </c>
      <c r="G38" s="171"/>
      <c r="H38" s="172"/>
      <c r="I38" s="177" t="s">
        <v>354</v>
      </c>
      <c r="J38" s="178"/>
      <c r="K38" s="167" t="s">
        <v>338</v>
      </c>
      <c r="L38" s="167"/>
      <c r="M38" s="167" t="s">
        <v>339</v>
      </c>
      <c r="N38" s="167"/>
      <c r="O38" s="153"/>
      <c r="P38" s="15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0" t="s">
        <v>319</v>
      </c>
      <c r="C39" s="170"/>
      <c r="D39" s="170"/>
      <c r="E39" s="170"/>
      <c r="F39" s="173">
        <f>P33+P30</f>
        <v>824807.17248800001</v>
      </c>
      <c r="G39" s="173"/>
      <c r="H39" s="174"/>
      <c r="I39" s="179">
        <f>VLOOKUP(H9,O39:P46,2,)</f>
        <v>1.0527260918901</v>
      </c>
      <c r="J39" s="180"/>
      <c r="K39" s="168">
        <f>F39*$I$39</f>
        <v>868296.03125621588</v>
      </c>
      <c r="L39" s="168"/>
      <c r="M39" s="168">
        <f>K39*1.2</f>
        <v>1041955.237507459</v>
      </c>
      <c r="N39" s="168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0" t="s">
        <v>2</v>
      </c>
      <c r="C40" s="170"/>
      <c r="D40" s="170"/>
      <c r="E40" s="170"/>
      <c r="F40" s="175">
        <f>P31</f>
        <v>2016482.8934000009</v>
      </c>
      <c r="G40" s="175"/>
      <c r="H40" s="176"/>
      <c r="I40" s="181"/>
      <c r="J40" s="182"/>
      <c r="K40" s="168">
        <f t="shared" ref="K40:K41" si="11">F40*$I$39</f>
        <v>2122804.1557322242</v>
      </c>
      <c r="L40" s="168"/>
      <c r="M40" s="168">
        <f>K40*1.2</f>
        <v>2547364.9868786689</v>
      </c>
      <c r="N40" s="168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0" t="s">
        <v>3</v>
      </c>
      <c r="C41" s="170"/>
      <c r="D41" s="170"/>
      <c r="E41" s="170"/>
      <c r="F41" s="175">
        <f>P32</f>
        <v>3873696.4188000001</v>
      </c>
      <c r="G41" s="175"/>
      <c r="H41" s="176"/>
      <c r="I41" s="181"/>
      <c r="J41" s="182"/>
      <c r="K41" s="168">
        <f t="shared" si="11"/>
        <v>4077941.2921320004</v>
      </c>
      <c r="L41" s="168"/>
      <c r="M41" s="190">
        <f t="shared" ref="M41" si="12">K41*1.2</f>
        <v>4893529.5505584003</v>
      </c>
      <c r="N41" s="190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0" t="s">
        <v>4</v>
      </c>
      <c r="C42" s="170"/>
      <c r="D42" s="170"/>
      <c r="E42" s="170"/>
      <c r="F42" s="175"/>
      <c r="G42" s="175"/>
      <c r="H42" s="176"/>
      <c r="I42" s="181"/>
      <c r="J42" s="182"/>
      <c r="K42" s="195">
        <f>SUM(F43:H45)*$I$39</f>
        <v>1451981.1198113384</v>
      </c>
      <c r="L42" s="196"/>
      <c r="M42" s="195">
        <f>K42*1.2</f>
        <v>1742377.343773606</v>
      </c>
      <c r="N42" s="196"/>
      <c r="O42" s="156" t="s">
        <v>77</v>
      </c>
      <c r="P42" s="157">
        <v>1.04761984318213</v>
      </c>
      <c r="Q42" s="155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1" t="s">
        <v>356</v>
      </c>
      <c r="C43" s="201"/>
      <c r="D43" s="201"/>
      <c r="E43" s="201"/>
      <c r="F43" s="199">
        <f>SUM(F39:H41)/100*P49</f>
        <v>143700.71077232322</v>
      </c>
      <c r="G43" s="199"/>
      <c r="H43" s="200"/>
      <c r="I43" s="181"/>
      <c r="J43" s="182"/>
      <c r="K43" s="197"/>
      <c r="L43" s="198"/>
      <c r="M43" s="197"/>
      <c r="N43" s="198"/>
      <c r="O43" s="158" t="s">
        <v>359</v>
      </c>
      <c r="P43" s="157">
        <f>1.0457995653007*P42</f>
        <v>1.0956003766002589</v>
      </c>
      <c r="Q43" s="155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1" t="s">
        <v>358</v>
      </c>
      <c r="C44" s="201"/>
      <c r="D44" s="201"/>
      <c r="E44" s="201"/>
      <c r="F44" s="199">
        <f>SUM(F39:H41)/100*P50</f>
        <v>785653.41870849603</v>
      </c>
      <c r="G44" s="199"/>
      <c r="H44" s="200"/>
      <c r="I44" s="181"/>
      <c r="J44" s="182"/>
      <c r="K44" s="197"/>
      <c r="L44" s="198"/>
      <c r="M44" s="197"/>
      <c r="N44" s="198"/>
      <c r="O44" s="158" t="s">
        <v>360</v>
      </c>
      <c r="P44" s="157">
        <f>1.0457995653007*P43</f>
        <v>1.1457783975918339</v>
      </c>
      <c r="Q44" s="155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2" t="s">
        <v>357</v>
      </c>
      <c r="C45" s="202"/>
      <c r="D45" s="202"/>
      <c r="E45" s="202"/>
      <c r="F45" s="199">
        <f>SUM(F39:H41)/100*P51</f>
        <v>449904.09447409608</v>
      </c>
      <c r="G45" s="199"/>
      <c r="H45" s="200"/>
      <c r="I45" s="181"/>
      <c r="J45" s="182"/>
      <c r="K45" s="197"/>
      <c r="L45" s="198"/>
      <c r="M45" s="197"/>
      <c r="N45" s="198"/>
      <c r="O45" s="158" t="s">
        <v>361</v>
      </c>
      <c r="P45" s="157">
        <f>1.0457995653007*P44</f>
        <v>1.1982545501324724</v>
      </c>
      <c r="Q45" s="155"/>
      <c r="R45" s="151"/>
      <c r="S45" s="22"/>
      <c r="T45" s="22"/>
      <c r="U45" s="22"/>
    </row>
    <row r="46" spans="1:21" ht="14.25" customHeight="1" x14ac:dyDescent="0.25">
      <c r="A46" s="203" t="s">
        <v>81</v>
      </c>
      <c r="B46" s="203"/>
      <c r="C46" s="203"/>
      <c r="D46" s="203"/>
      <c r="E46" s="203"/>
      <c r="F46" s="194">
        <f>SUM(F39:H45)</f>
        <v>8094244.7086429158</v>
      </c>
      <c r="G46" s="194"/>
      <c r="H46" s="194"/>
      <c r="I46" s="194"/>
      <c r="J46" s="194"/>
      <c r="K46" s="193">
        <f>SUM(K39:L45)</f>
        <v>8521022.5989317782</v>
      </c>
      <c r="L46" s="193"/>
      <c r="M46" s="193">
        <f>SUM(M39:N45)</f>
        <v>10225227.118718134</v>
      </c>
      <c r="N46" s="193"/>
      <c r="O46" s="158" t="s">
        <v>362</v>
      </c>
      <c r="P46" s="157">
        <f>1.0457995653007*P45</f>
        <v>1.2531340876481254</v>
      </c>
      <c r="Q46" s="155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2" t="s">
        <v>342</v>
      </c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2" t="s">
        <v>345</v>
      </c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1" t="s">
        <v>343</v>
      </c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1" t="s">
        <v>344</v>
      </c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54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pane ySplit="1" topLeftCell="A2" activePane="bottomLeft" state="frozen"/>
      <selection pane="bottomLeft" activeCell="B69" sqref="B69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hidden="1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hidden="1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hidden="1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hidden="1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hidden="1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hidden="1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hidden="1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hidden="1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hidden="1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hidden="1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hidden="1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hidden="1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hidden="1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hidden="1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hidden="1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hidden="1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hidden="1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hidden="1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hidden="1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hidden="1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hidden="1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hidden="1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hidden="1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hidden="1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hidden="1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hidden="1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hidden="1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hidden="1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hidden="1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hidden="1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hidden="1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hidden="1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hidden="1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hidden="1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hidden="1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hidden="1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hidden="1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hidden="1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hidden="1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hidden="1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hidden="1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hidden="1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hidden="1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hidden="1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hidden="1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hidden="1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hidden="1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hidden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hidden="1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hidden="1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hidden="1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hidden="1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hidden="1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hidden="1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hidden="1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hidden="1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hidden="1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hidden="1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hidden="1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hidden="1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hidden="1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hidden="1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hidden="1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hidden="1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hidden="1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hidden="1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hidden="1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hidden="1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hidden="1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hidden="1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hidden="1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hidden="1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hidden="1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hidden="1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hidden="1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hidden="1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hidden="1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hidden="1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hidden="1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hidden="1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hidden="1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hidden="1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hidden="1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hidden="1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hidden="1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hidden="1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hidden="1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hidden="1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hidden="1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hidden="1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hidden="1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hidden="1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hidden="1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hidden="1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hidden="1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hidden="1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hidden="1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hidden="1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hidden="1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hidden="1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hidden="1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hidden="1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hidden="1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hidden="1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hidden="1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hidden="1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hidden="1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hidden="1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hidden="1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hidden="1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hidden="1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hidden="1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hidden="1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hidden="1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hidden="1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hidden="1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hidden="1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hidden="1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hidden="1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hidden="1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hidden="1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hidden="1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hidden="1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hidden="1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hidden="1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hidden="1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hidden="1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hidden="1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hidden="1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hidden="1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hidden="1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hidden="1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hidden="1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hidden="1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hidden="1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hidden="1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hidden="1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hidden="1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hidden="1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hidden="1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hidden="1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hidden="1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hidden="1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hidden="1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hidden="1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hidden="1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hidden="1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hidden="1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hidden="1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hidden="1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hidden="1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hidden="1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hidden="1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hidden="1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hidden="1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hidden="1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hidden="1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hidden="1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hidden="1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hidden="1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hidden="1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hidden="1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hidden="1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hidden="1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hidden="1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hidden="1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hidden="1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hidden="1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hidden="1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hidden="1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hidden="1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hidden="1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hidden="1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hidden="1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hidden="1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hidden="1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hidden="1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hidden="1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hidden="1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hidden="1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hidden="1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hidden="1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hidden="1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hidden="1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hidden="1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hidden="1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hidden="1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hidden="1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hidden="1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hidden="1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hidden="1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hidden="1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hidden="1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hidden="1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hidden="1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hidden="1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hidden="1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hidden="1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hidden="1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hidden="1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hidden="1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hidden="1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hidden="1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hidden="1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hidden="1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hidden="1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hidden="1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hidden="1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hidden="1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hidden="1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hidden="1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hidden="1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hidden="1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hidden="1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hidden="1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hidden="1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hidden="1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hidden="1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hidden="1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hidden="1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hidden="1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hidden="1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hidden="1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hidden="1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hidden="1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hidden="1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hidden="1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hidden="1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hidden="1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hidden="1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hidden="1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hidden="1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hidden="1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hidden="1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hidden="1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idden="1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hidden="1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hidden="1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hidden="1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hidden="1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hidden="1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hidden="1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hidden="1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hidden="1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hidden="1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hidden="1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hidden="1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hidden="1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hidden="1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hidden="1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hidden="1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hidden="1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hidden="1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hidden="1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hidden="1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hidden="1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hidden="1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hidden="1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hidden="1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hidden="1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>
    <filterColumn colId="1">
      <filters>
        <filter val="Замена опоры СВ-95"/>
        <filter val="Реконструкция 1 км ВЛ-0,4 (замена провода ) сип 3*35+1*50+1*16"/>
        <filter val="Реконструкция 1 км ВЛ-0,4 (замена провода ) сип 3*50+1*50"/>
        <filter val="Реконструкция 1 км ВЛ-0,4 (замена провода ) сип 3*50+1*70+1*16"/>
        <filter val="Реконструкция 1 км ВЛ-0,4 (замена провода ) сип 3*70+1*95"/>
        <filter val="Реконструкция 1 км ВЛ-0,4 (замена провода ) сип 3*95+1*95"/>
        <filter val="Реконструкция 1 км ВЛ-10 (замена провода ) СИП-3 1*120"/>
        <filter val="Реконструкция 1 км ВЛ-10 (замена провода ) СИП-3 1*70"/>
        <filter val="Реконструкция 1 км ВЛ-10 (замена провода ) СИП-3 1*95"/>
        <filter val="Реконструкция 1 км ВЛ-10 (замена провода ) совместный подвес СИП3 1*120"/>
        <filter val="Реконструкция 1 км ВЛ-10 (замена провода ) совместный подвес СИП3 1*70"/>
        <filter val="Реконструкция 1 км ВЛ-10 (замена провода ) совместный подвес СИП3 1*95"/>
        <filter val="Реконструкция 1 км ВЛ-10 кВ (замена 1 опоры и 1 пролета 50 м.п. СИП-3 1*95)"/>
        <filter val="Реконструкция 100м. ВЛ-10 (замена провода ) СИП-3 1*95"/>
        <filter val="Реконструкция ТП  Замена  ячейки 10 кВ с вакуумным выключателем"/>
        <filter val="Реконструкция ТП замена  ячейки 0,4 кВ"/>
        <filter val="Реконструкция ТП замена трансформатора  1*630"/>
        <filter val="Реконструкция ТП замена трансформатора 1*100"/>
        <filter val="Реконструкция ТП замена трансформатора 1*1000"/>
        <filter val="Реконструкция ТП замена трансформатора 1*160"/>
        <filter val="Реконструкция ТП замена трансформатора 1*250"/>
        <filter val="Реконструкция ТП замена трансформатора 1*400"/>
        <filter val="Реконструкция ТП замена трансформаторов  2*1600"/>
        <filter val="Реконструкция ТП замена трансформаторов 2*100"/>
        <filter val="Реконструкция ТП замена трансформаторов 2*1000"/>
        <filter val="Реконструкция ТП замена трансформаторов 2*160"/>
        <filter val="Реконструкция ТП замена трансформаторов 2*250"/>
        <filter val="Реконструкция ТП замена трансформаторов 2*400"/>
        <filter val="Реконструкция ТП замена трансформаторов 2*630"/>
        <filter val="Реконструкция ТП. Замена  автомата АВ 200 А."/>
        <filter val="Реконструкция ТП. Замена  ячейки 10 кВ с выкл. нагрузки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2024-02-21T13:04:13Z</dcterms:modified>
</cp:coreProperties>
</file>