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06-1-08-03-0-0618\"/>
    </mc:Choice>
  </mc:AlternateContent>
  <xr:revisionPtr revIDLastSave="0" documentId="13_ncr:1_{E0709B4A-3D8D-404B-B18A-02E4DD136F98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4" l="1"/>
  <c r="M19" i="4"/>
  <c r="M18" i="4"/>
  <c r="M17" i="4"/>
  <c r="M16" i="4"/>
  <c r="N16" i="4"/>
  <c r="N17" i="4"/>
  <c r="N18" i="4"/>
  <c r="N19" i="4"/>
  <c r="N20" i="4"/>
  <c r="P43" i="4" l="1"/>
  <c r="P44" i="4" l="1"/>
  <c r="P45" i="4" s="1"/>
  <c r="P46" i="4" s="1"/>
  <c r="M21" i="4" l="1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16" i="5" l="1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C8" i="5"/>
  <c r="L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48" i="5"/>
  <c r="J148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L17" i="4" s="1"/>
  <c r="I18" i="4"/>
  <c r="O18" i="4" s="1"/>
  <c r="L18" i="4" s="1"/>
  <c r="I19" i="4"/>
  <c r="O19" i="4" s="1"/>
  <c r="L19" i="4" s="1"/>
  <c r="I20" i="4"/>
  <c r="O20" i="4" s="1"/>
  <c r="L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L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D17" i="4"/>
  <c r="E17" i="4"/>
  <c r="F17" i="4"/>
  <c r="G17" i="4"/>
  <c r="H20" i="4" l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1" i="4"/>
  <c r="P22" i="4"/>
  <c r="N23" i="4"/>
  <c r="L23" i="4" s="1"/>
  <c r="D18" i="4"/>
  <c r="E18" i="4"/>
  <c r="F18" i="4"/>
  <c r="G18" i="4"/>
  <c r="P23" i="4" l="1"/>
  <c r="P31" i="4" l="1"/>
  <c r="D16" i="4"/>
  <c r="E16" i="4"/>
  <c r="F16" i="4"/>
  <c r="G16" i="4"/>
  <c r="G29" i="4" l="1"/>
  <c r="F29" i="4"/>
  <c r="E29" i="4"/>
  <c r="P32" i="4" l="1"/>
  <c r="F41" i="4" l="1"/>
  <c r="K41" i="4" l="1"/>
  <c r="M41" i="4" s="1"/>
  <c r="P33" i="4"/>
  <c r="F40" i="4"/>
  <c r="K40" i="4" s="1"/>
  <c r="M40" i="4" s="1"/>
  <c r="P29" i="4" l="1"/>
  <c r="P19" i="4" l="1"/>
  <c r="P20" i="4"/>
  <c r="P17" i="4"/>
  <c r="P18" i="4"/>
  <c r="P16" i="4"/>
  <c r="P30" i="4"/>
  <c r="F39" i="4" s="1"/>
  <c r="F43" i="4" l="1"/>
  <c r="F44" i="4"/>
  <c r="K39" i="4"/>
  <c r="F45" i="4"/>
  <c r="F46" i="4" s="1"/>
  <c r="P34" i="4"/>
  <c r="M39" i="4" l="1"/>
  <c r="K42" i="4"/>
  <c r="M42" i="4" s="1"/>
  <c r="K46" i="4" l="1"/>
  <c r="M46" i="4"/>
</calcChain>
</file>

<file path=xl/sharedStrings.xml><?xml version="1.0" encoding="utf-8"?>
<sst xmlns="http://schemas.openxmlformats.org/spreadsheetml/2006/main" count="405" uniqueCount="366">
  <si>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</si>
  <si>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</si>
  <si>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</si>
  <si>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</si>
  <si>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</si>
  <si>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</si>
  <si>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</si>
  <si>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</si>
  <si>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</si>
  <si>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</si>
  <si>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</si>
  <si>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</si>
  <si>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</si>
  <si>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</si>
  <si>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</si>
  <si>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</si>
  <si>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</si>
  <si>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</si>
  <si>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</si>
  <si>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</si>
  <si>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</si>
  <si>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</si>
  <si>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</si>
  <si>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</si>
  <si>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</si>
  <si>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</si>
  <si>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</si>
  <si>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</si>
  <si>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</si>
  <si>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</si>
  <si>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</si>
  <si>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</si>
  <si>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</si>
  <si>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</si>
  <si>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</si>
  <si>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</si>
  <si>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</si>
  <si>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</si>
  <si>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</si>
  <si>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</si>
  <si>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</si>
  <si>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</si>
  <si>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</si>
  <si>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</si>
  <si>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</si>
  <si>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</si>
  <si>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</si>
  <si>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</si>
  <si>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</si>
  <si>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</si>
  <si>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</si>
  <si>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</si>
  <si>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</si>
  <si>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</si>
  <si>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</si>
  <si>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</si>
  <si>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</si>
  <si>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</si>
  <si>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</si>
  <si>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</si>
  <si>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</si>
  <si>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</si>
  <si>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</si>
  <si>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</si>
  <si>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</si>
  <si>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</si>
  <si>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</si>
  <si>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</si>
  <si>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</si>
  <si>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</si>
  <si>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</si>
  <si>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</si>
  <si>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</si>
  <si>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</si>
  <si>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</si>
  <si>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</si>
  <si>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</si>
  <si>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</si>
  <si>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</si>
  <si>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</si>
  <si>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</si>
  <si>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</si>
  <si>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</si>
  <si>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</si>
  <si>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</si>
  <si>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</si>
  <si>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</si>
  <si>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</si>
  <si>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</si>
  <si>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</si>
  <si>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</si>
  <si>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</si>
  <si>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</si>
  <si>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</si>
  <si>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</si>
  <si>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</si>
  <si>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</si>
  <si>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</si>
  <si>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</si>
  <si>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</si>
  <si>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</si>
  <si>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</si>
  <si>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</si>
  <si>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</si>
  <si>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</si>
  <si>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</si>
  <si>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</si>
  <si>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</si>
  <si>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</si>
  <si>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</si>
  <si>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</si>
  <si>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</si>
  <si>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</si>
  <si>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</si>
  <si>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</si>
  <si>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</si>
  <si>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</si>
  <si>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</si>
  <si>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</si>
  <si>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</si>
  <si>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</si>
  <si>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</si>
  <si>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</si>
  <si>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</si>
  <si>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</si>
  <si>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</si>
  <si>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</si>
  <si>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</si>
  <si>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</si>
  <si>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</si>
  <si>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</si>
  <si>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</si>
  <si>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</si>
  <si>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</si>
  <si>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</si>
  <si>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</si>
  <si>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</si>
  <si>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</si>
  <si>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</si>
  <si>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</si>
  <si>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</si>
  <si>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</si>
  <si>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</si>
  <si>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</si>
  <si>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</si>
  <si>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</si>
  <si>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</si>
  <si>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</si>
  <si>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</si>
  <si>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</si>
  <si>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</si>
  <si>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</si>
  <si>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</si>
  <si>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</si>
  <si>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</si>
  <si>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</si>
  <si>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</si>
  <si>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</si>
  <si>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</si>
  <si>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</si>
  <si>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</si>
  <si>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</si>
  <si>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</si>
  <si>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</si>
  <si>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</si>
  <si>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</si>
  <si>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</si>
  <si>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</si>
  <si>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</si>
  <si>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</si>
  <si>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</si>
  <si>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</si>
  <si>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</si>
  <si>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</si>
  <si>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</si>
  <si>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</si>
  <si>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</si>
  <si>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</si>
  <si>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</si>
  <si>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</si>
  <si>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</si>
  <si>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</si>
  <si>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</si>
  <si>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</si>
  <si>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</si>
  <si>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</si>
  <si>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</si>
  <si>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</si>
  <si>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</si>
  <si>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</si>
  <si>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</si>
  <si>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</si>
  <si>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</si>
  <si>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</si>
  <si>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</si>
  <si>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</si>
  <si>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</si>
  <si>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</si>
  <si>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</si>
  <si>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</si>
  <si>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</si>
  <si>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</si>
  <si>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</si>
  <si>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</si>
  <si>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</si>
  <si>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</si>
  <si>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</si>
  <si>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</si>
  <si>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</si>
  <si>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</si>
  <si>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</si>
  <si>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</si>
  <si>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</si>
  <si>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</si>
  <si>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</si>
  <si>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</si>
  <si>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</si>
  <si>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</si>
  <si>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</si>
  <si>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</si>
  <si>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</si>
  <si>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</si>
  <si>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</si>
  <si>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</si>
  <si>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</si>
  <si>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</si>
  <si>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</si>
  <si>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</si>
  <si>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</si>
  <si>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</si>
  <si>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</si>
  <si>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</si>
  <si>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</si>
  <si>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</si>
  <si>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</si>
  <si>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</si>
  <si>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</si>
  <si>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</si>
  <si>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</si>
  <si>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</si>
  <si>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</si>
  <si>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</si>
  <si>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</si>
  <si>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</si>
  <si>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</si>
  <si>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</si>
  <si>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</si>
  <si>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</si>
  <si>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</si>
  <si>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</si>
  <si>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</si>
  <si>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</si>
  <si>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</si>
  <si>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</si>
  <si>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</si>
  <si>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</si>
  <si>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</si>
  <si>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</si>
  <si>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</si>
  <si>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</si>
  <si>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</si>
  <si>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</si>
  <si>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</si>
  <si>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</si>
  <si>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</si>
  <si>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</si>
  <si>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</si>
  <si>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</si>
  <si>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</si>
  <si>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</si>
  <si>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</si>
  <si>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</si>
  <si>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</si>
  <si>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</si>
  <si>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</si>
  <si>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</si>
  <si>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</si>
  <si>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</si>
  <si>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</si>
  <si>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</si>
  <si>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</si>
  <si>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</si>
  <si>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</si>
  <si>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</si>
  <si>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</si>
  <si>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</si>
  <si>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</si>
  <si>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</si>
  <si>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</si>
  <si>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</si>
  <si>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</si>
  <si>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</si>
  <si>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</si>
  <si>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</si>
  <si>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</si>
  <si>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</si>
  <si>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</si>
  <si>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</si>
  <si>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</si>
  <si>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</si>
  <si>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</si>
  <si>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</si>
  <si>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</si>
  <si>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</si>
  <si>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</si>
  <si>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</si>
  <si>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</si>
  <si>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</si>
  <si>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</si>
  <si>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</si>
  <si>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</si>
  <si>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</si>
  <si>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</si>
  <si>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</si>
  <si>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</si>
  <si>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</si>
  <si>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</si>
  <si>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</si>
  <si>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</si>
  <si>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</si>
  <si>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</si>
  <si>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</si>
  <si>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</si>
  <si>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</si>
  <si>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</si>
  <si>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</si>
  <si>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</si>
  <si>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</si>
  <si>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</si>
  <si>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</si>
  <si>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</si>
  <si>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</si>
  <si>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</si>
  <si>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</si>
  <si>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</si>
  <si>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</si>
  <si>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</si>
  <si>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</si>
  <si>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</si>
  <si>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</si>
  <si>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</si>
  <si>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</si>
  <si>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</si>
  <si>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</si>
  <si>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</si>
  <si>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</si>
  <si>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</si>
  <si>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</si>
  <si>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</si>
  <si>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</si>
  <si>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</si>
  <si>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</si>
  <si>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</si>
  <si>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</si>
  <si>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</si>
  <si>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</si>
  <si>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</si>
  <si>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</si>
  <si>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</si>
  <si>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</si>
  <si>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</si>
  <si>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</si>
  <si>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</si>
  <si>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</si>
  <si>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Строительство ТП-10/0,4 кВ - 1,26 МВА, КЛ-10 кВ – 0,56 км, КЛ-0,4кВ – 0,2 км по договору ТП № 06-013/005-ПС-23 в г. п. Сиверский Гатчинский р-н ЛО</t>
  </si>
  <si>
    <t>O_23-1-06-1-08-03-0-0618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</si>
</sst>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S38" sqref="S38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1406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2.28515625" style="2" customWidth="1"/>
    <col min="13" max="13" width="10.5703125" style="2" customWidth="1"/>
    <col min="14" max="14" width="12.8554687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90" t="s">
        <v>364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</row>
    <row r="6" spans="1:22" ht="10.5" customHeight="1" x14ac:dyDescent="0.25"/>
    <row r="7" spans="1:22" ht="13.5" customHeight="1" x14ac:dyDescent="0.25">
      <c r="A7" s="6" t="s">
        <v>5</v>
      </c>
      <c r="H7" s="165" t="s">
        <v>365</v>
      </c>
      <c r="I7" s="163"/>
      <c r="J7" s="24"/>
      <c r="K7" s="24"/>
      <c r="L7" s="24"/>
      <c r="M7" s="24"/>
      <c r="N7" s="24"/>
      <c r="O7" s="24"/>
      <c r="P7" s="2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2" t="s">
        <v>76</v>
      </c>
      <c r="I9" s="192"/>
      <c r="J9" s="192"/>
      <c r="K9" s="192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72" t="s">
        <v>6</v>
      </c>
      <c r="B13" s="172" t="s">
        <v>9</v>
      </c>
      <c r="C13" s="172" t="s">
        <v>334</v>
      </c>
      <c r="D13" s="172" t="s">
        <v>349</v>
      </c>
      <c r="E13" s="172"/>
      <c r="F13" s="172"/>
      <c r="G13" s="172"/>
      <c r="H13" s="172" t="s">
        <v>335</v>
      </c>
      <c r="I13" s="172" t="s">
        <v>348</v>
      </c>
      <c r="J13" s="172" t="s">
        <v>7</v>
      </c>
      <c r="K13" s="170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9" t="s">
        <v>337</v>
      </c>
      <c r="Q13" s="24"/>
    </row>
    <row r="14" spans="1:22" ht="38.25" customHeight="1" x14ac:dyDescent="0.25">
      <c r="A14" s="172"/>
      <c r="B14" s="172"/>
      <c r="C14" s="172"/>
      <c r="D14" s="136" t="s">
        <v>89</v>
      </c>
      <c r="E14" s="136" t="s">
        <v>91</v>
      </c>
      <c r="F14" s="136" t="s">
        <v>93</v>
      </c>
      <c r="G14" s="136" t="s">
        <v>318</v>
      </c>
      <c r="H14" s="172"/>
      <c r="I14" s="172"/>
      <c r="J14" s="172"/>
      <c r="K14" s="170"/>
      <c r="L14" s="136" t="s">
        <v>1</v>
      </c>
      <c r="M14" s="136" t="s">
        <v>317</v>
      </c>
      <c r="N14" s="136" t="s">
        <v>2</v>
      </c>
      <c r="O14" s="136" t="s">
        <v>3</v>
      </c>
      <c r="P14" s="189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39"/>
      <c r="R15" s="139"/>
      <c r="S15" s="139"/>
      <c r="T15" s="139"/>
      <c r="U15" s="39"/>
      <c r="V15" s="17"/>
    </row>
    <row r="16" spans="1:22" ht="27.75" customHeight="1" x14ac:dyDescent="0.25">
      <c r="A16" s="10"/>
      <c r="B16" s="40" t="s">
        <v>324</v>
      </c>
      <c r="C16" s="37">
        <f>VLOOKUP($B$16:$B$29,'Наименование работ'!B:G,6,)</f>
        <v>469462.68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2086740.9345999998</v>
      </c>
      <c r="I16" s="36">
        <f>VLOOKUP($B$16:$B$29,'Наименование работ'!B:R,17,)</f>
        <v>2252576.7722999998</v>
      </c>
      <c r="J16" s="38" t="s">
        <v>363</v>
      </c>
      <c r="K16" s="155">
        <v>2</v>
      </c>
      <c r="L16" s="33">
        <f>(N16+O16)*0.08</f>
        <v>694290.83310399996</v>
      </c>
      <c r="M16" s="33">
        <f>122750*K16</f>
        <v>245500</v>
      </c>
      <c r="N16" s="34">
        <f>K16*H16</f>
        <v>4173481.8691999996</v>
      </c>
      <c r="O16" s="34">
        <f>K16*I16</f>
        <v>4505153.5445999997</v>
      </c>
      <c r="P16" s="34">
        <f t="shared" ref="P16" si="0">SUM(L16:O16)</f>
        <v>9618426.2469040006</v>
      </c>
      <c r="Q16" s="25"/>
      <c r="R16" s="25"/>
      <c r="S16" s="25"/>
      <c r="T16" s="25"/>
      <c r="U16" s="20"/>
      <c r="V16" s="17"/>
    </row>
    <row r="17" spans="1:22" ht="29.25" customHeight="1" x14ac:dyDescent="0.25">
      <c r="A17" s="10"/>
      <c r="B17" s="40" t="s">
        <v>195</v>
      </c>
      <c r="C17" s="37">
        <f>VLOOKUP($B$16:$B$29,'Наименование работ'!B:G,6,)</f>
        <v>1160478.56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8.27</v>
      </c>
      <c r="F17" s="37">
        <f>VLOOKUP($B$16:$B$29,'Наименование работ'!B:O,14,)</f>
        <v>3.76</v>
      </c>
      <c r="G17" s="37">
        <f>VLOOKUP($B$16:$B$29,'Наименование работ'!B:Q,16,)</f>
        <v>0</v>
      </c>
      <c r="H17" s="36">
        <f>VLOOKUP(B17:B30,'Наименование работ'!B:S,18,)</f>
        <v>7949049.7363000019</v>
      </c>
      <c r="I17" s="36">
        <f>VLOOKUP($B$16:$B$29,'Наименование работ'!B:R,17,)</f>
        <v>0</v>
      </c>
      <c r="J17" s="38" t="s">
        <v>353</v>
      </c>
      <c r="K17" s="155">
        <v>0.55500000000000005</v>
      </c>
      <c r="L17" s="33">
        <f t="shared" ref="L17:L20" si="1">(N17+O17)*0.08</f>
        <v>352937.80829172011</v>
      </c>
      <c r="M17" s="33">
        <f t="shared" ref="M17:M20" si="2">122750*K17</f>
        <v>68126.25</v>
      </c>
      <c r="N17" s="34">
        <f t="shared" ref="N17:N29" si="3">K17*H17</f>
        <v>4411722.603646501</v>
      </c>
      <c r="O17" s="34">
        <f t="shared" ref="O17:O29" si="4">K17*I17</f>
        <v>0</v>
      </c>
      <c r="P17" s="34">
        <f t="shared" ref="P17" si="5">SUM(L17:O17)</f>
        <v>4832786.6619382212</v>
      </c>
      <c r="Q17" s="25"/>
      <c r="R17" s="25"/>
      <c r="S17" s="25"/>
      <c r="T17" s="25"/>
      <c r="U17" s="20"/>
      <c r="V17" s="17"/>
    </row>
    <row r="18" spans="1:22" ht="29.25" customHeight="1" x14ac:dyDescent="0.25">
      <c r="A18" s="10"/>
      <c r="B18" s="40" t="s">
        <v>210</v>
      </c>
      <c r="C18" s="37">
        <f>VLOOKUP($B$16:$B$29,'Наименование работ'!B:G,6,)</f>
        <v>898103.22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8348995.227599998</v>
      </c>
      <c r="I18" s="36">
        <f>VLOOKUP($B$16:$B$29,'Наименование работ'!B:R,17,)</f>
        <v>0</v>
      </c>
      <c r="J18" s="38" t="s">
        <v>353</v>
      </c>
      <c r="K18" s="155">
        <v>0.06</v>
      </c>
      <c r="L18" s="33">
        <f t="shared" si="1"/>
        <v>40075.177092479993</v>
      </c>
      <c r="M18" s="33">
        <f t="shared" si="2"/>
        <v>7365</v>
      </c>
      <c r="N18" s="34">
        <f t="shared" si="3"/>
        <v>500939.71365599986</v>
      </c>
      <c r="O18" s="34">
        <f t="shared" si="4"/>
        <v>0</v>
      </c>
      <c r="P18" s="34">
        <f t="shared" ref="P18" si="6">SUM(L18:O18)</f>
        <v>548379.89074847987</v>
      </c>
      <c r="Q18" s="25"/>
      <c r="R18" s="25"/>
      <c r="S18" s="25"/>
      <c r="T18" s="25"/>
      <c r="U18" s="20"/>
      <c r="V18" s="17"/>
    </row>
    <row r="19" spans="1:22" ht="29.25" customHeight="1" x14ac:dyDescent="0.25">
      <c r="A19" s="10"/>
      <c r="B19" s="40" t="s">
        <v>65</v>
      </c>
      <c r="C19" s="37">
        <f>VLOOKUP($B$16:$B$29,'Наименование работ'!B:G,6,)</f>
        <v>1046010.9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8.27</v>
      </c>
      <c r="F19" s="37">
        <f>VLOOKUP($B$16:$B$29,'Наименование работ'!B:O,14,)</f>
        <v>3.76</v>
      </c>
      <c r="G19" s="37">
        <f>VLOOKUP($B$16:$B$29,'Наименование работ'!B:Q,16,)</f>
        <v>0</v>
      </c>
      <c r="H19" s="36">
        <f>VLOOKUP(B19:B32,'Наименование работ'!B:S,18,)</f>
        <v>7127385.8018000005</v>
      </c>
      <c r="I19" s="36">
        <f>VLOOKUP($B$16:$B$29,'Наименование работ'!B:R,17,)</f>
        <v>0</v>
      </c>
      <c r="J19" s="38" t="s">
        <v>353</v>
      </c>
      <c r="K19" s="155">
        <v>0.1</v>
      </c>
      <c r="L19" s="33">
        <f t="shared" si="1"/>
        <v>57019.086414400008</v>
      </c>
      <c r="M19" s="33">
        <f t="shared" si="2"/>
        <v>12275</v>
      </c>
      <c r="N19" s="34">
        <f t="shared" si="3"/>
        <v>712738.58018000005</v>
      </c>
      <c r="O19" s="34">
        <f t="shared" si="4"/>
        <v>0</v>
      </c>
      <c r="P19" s="34">
        <f t="shared" ref="P19:P23" si="7">SUM(L19:O19)</f>
        <v>782032.66659440007</v>
      </c>
      <c r="Q19" s="25"/>
      <c r="R19" s="25"/>
      <c r="S19" s="25"/>
      <c r="T19" s="25"/>
      <c r="U19" s="20"/>
      <c r="V19" s="17"/>
    </row>
    <row r="20" spans="1:22" ht="29.25" customHeight="1" x14ac:dyDescent="0.25">
      <c r="A20" s="10"/>
      <c r="B20" s="40" t="s">
        <v>267</v>
      </c>
      <c r="C20" s="37">
        <f>VLOOKUP($B$16:$B$29,'Наименование работ'!B:G,6,)</f>
        <v>1332610.1100000001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8.27</v>
      </c>
      <c r="F20" s="37">
        <f>VLOOKUP($B$16:$B$29,'Наименование работ'!B:O,14,)</f>
        <v>3.76</v>
      </c>
      <c r="G20" s="37">
        <f>VLOOKUP($B$16:$B$29,'Наименование работ'!B:Q,16,)</f>
        <v>0</v>
      </c>
      <c r="H20" s="36">
        <f>VLOOKUP(B20:B33,'Наименование работ'!B:S,18,)</f>
        <v>12334285.734900001</v>
      </c>
      <c r="I20" s="36">
        <f>VLOOKUP($B$16:$B$29,'Наименование работ'!B:R,17,)</f>
        <v>0</v>
      </c>
      <c r="J20" s="38" t="s">
        <v>353</v>
      </c>
      <c r="K20" s="155">
        <v>0.06</v>
      </c>
      <c r="L20" s="33">
        <f t="shared" si="1"/>
        <v>59204.571527520013</v>
      </c>
      <c r="M20" s="33">
        <f t="shared" si="2"/>
        <v>7365</v>
      </c>
      <c r="N20" s="34">
        <f t="shared" si="3"/>
        <v>740057.1440940001</v>
      </c>
      <c r="O20" s="34">
        <f t="shared" si="4"/>
        <v>0</v>
      </c>
      <c r="P20" s="34">
        <f t="shared" si="7"/>
        <v>806626.71562152007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ref="M21:M29" si="8">147300*K21</f>
        <v>0</v>
      </c>
      <c r="N21" s="34">
        <f t="shared" si="3"/>
        <v>0</v>
      </c>
      <c r="O21" s="34">
        <f t="shared" si="4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ref="L22:L29" si="9">(N22+O22)*0.08</f>
        <v>0</v>
      </c>
      <c r="M22" s="33">
        <f t="shared" si="8"/>
        <v>0</v>
      </c>
      <c r="N22" s="34">
        <f t="shared" si="3"/>
        <v>0</v>
      </c>
      <c r="O22" s="34">
        <f t="shared" si="4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9"/>
        <v>0</v>
      </c>
      <c r="M23" s="33">
        <f t="shared" si="8"/>
        <v>0</v>
      </c>
      <c r="N23" s="34">
        <f t="shared" si="3"/>
        <v>0</v>
      </c>
      <c r="O23" s="34">
        <f t="shared" si="4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9"/>
        <v>0</v>
      </c>
      <c r="M24" s="33">
        <f t="shared" si="8"/>
        <v>0</v>
      </c>
      <c r="N24" s="34">
        <f t="shared" ref="N24:N28" si="10">K24*H24</f>
        <v>0</v>
      </c>
      <c r="O24" s="34">
        <f t="shared" si="4"/>
        <v>0</v>
      </c>
      <c r="P24" s="34">
        <f t="shared" ref="P24:P28" si="11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9"/>
        <v>0</v>
      </c>
      <c r="M25" s="33">
        <f t="shared" si="8"/>
        <v>0</v>
      </c>
      <c r="N25" s="34">
        <f t="shared" si="10"/>
        <v>0</v>
      </c>
      <c r="O25" s="34">
        <f t="shared" si="4"/>
        <v>0</v>
      </c>
      <c r="P25" s="34">
        <f t="shared" si="11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9"/>
        <v>0</v>
      </c>
      <c r="M26" s="33">
        <f t="shared" si="8"/>
        <v>0</v>
      </c>
      <c r="N26" s="34">
        <f t="shared" si="10"/>
        <v>0</v>
      </c>
      <c r="O26" s="34">
        <f t="shared" si="4"/>
        <v>0</v>
      </c>
      <c r="P26" s="34">
        <f t="shared" si="11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9"/>
        <v>0</v>
      </c>
      <c r="M27" s="33">
        <f t="shared" si="8"/>
        <v>0</v>
      </c>
      <c r="N27" s="34">
        <f t="shared" si="10"/>
        <v>0</v>
      </c>
      <c r="O27" s="34">
        <f t="shared" si="4"/>
        <v>0</v>
      </c>
      <c r="P27" s="34">
        <f t="shared" si="11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9"/>
        <v>0</v>
      </c>
      <c r="M28" s="33">
        <f t="shared" si="8"/>
        <v>0</v>
      </c>
      <c r="N28" s="34">
        <f t="shared" si="10"/>
        <v>0</v>
      </c>
      <c r="O28" s="34">
        <f t="shared" si="4"/>
        <v>0</v>
      </c>
      <c r="P28" s="34">
        <f t="shared" si="11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9"/>
        <v>0</v>
      </c>
      <c r="M29" s="33">
        <f t="shared" si="8"/>
        <v>0</v>
      </c>
      <c r="N29" s="34">
        <f t="shared" si="3"/>
        <v>0</v>
      </c>
      <c r="O29" s="34">
        <f t="shared" si="4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6" t="s">
        <v>317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8"/>
      <c r="P30" s="34">
        <f>SUM(M16:M29)</f>
        <v>340631.25</v>
      </c>
    </row>
    <row r="31" spans="1:22" ht="16.5" customHeight="1" x14ac:dyDescent="0.25">
      <c r="A31" s="141"/>
      <c r="B31" s="186" t="s">
        <v>2</v>
      </c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8"/>
      <c r="P31" s="35">
        <f>SUM(N16:N29)</f>
        <v>10538939.910776502</v>
      </c>
    </row>
    <row r="32" spans="1:22" ht="16.5" customHeight="1" x14ac:dyDescent="0.25">
      <c r="A32" s="141"/>
      <c r="B32" s="186" t="s">
        <v>3</v>
      </c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8"/>
      <c r="P32" s="35">
        <f>SUM(O16:O29)</f>
        <v>4505153.5445999997</v>
      </c>
    </row>
    <row r="33" spans="1:21" ht="16.5" customHeight="1" x14ac:dyDescent="0.25">
      <c r="A33" s="141"/>
      <c r="B33" s="186" t="s">
        <v>346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8"/>
      <c r="P33" s="35">
        <f>SUM(L16:L29)</f>
        <v>1203527.4764301199</v>
      </c>
      <c r="Q33" s="32"/>
      <c r="R33" s="32"/>
    </row>
    <row r="34" spans="1:21" ht="16.5" customHeight="1" x14ac:dyDescent="0.25">
      <c r="A34" s="141"/>
      <c r="B34" s="167" t="s">
        <v>12</v>
      </c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9"/>
      <c r="P34" s="34">
        <f>SUM(P30:P33)</f>
        <v>16588252.181806622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72" t="s">
        <v>0</v>
      </c>
      <c r="C38" s="172"/>
      <c r="D38" s="172"/>
      <c r="E38" s="172"/>
      <c r="F38" s="174" t="s">
        <v>337</v>
      </c>
      <c r="G38" s="174"/>
      <c r="H38" s="175"/>
      <c r="I38" s="180" t="s">
        <v>354</v>
      </c>
      <c r="J38" s="181"/>
      <c r="K38" s="170" t="s">
        <v>338</v>
      </c>
      <c r="L38" s="170"/>
      <c r="M38" s="170" t="s">
        <v>339</v>
      </c>
      <c r="N38" s="170"/>
      <c r="O38" s="164"/>
      <c r="P38" s="164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73" t="s">
        <v>319</v>
      </c>
      <c r="C39" s="173"/>
      <c r="D39" s="173"/>
      <c r="E39" s="173"/>
      <c r="F39" s="176">
        <f>P33+P30</f>
        <v>1544158.7264301199</v>
      </c>
      <c r="G39" s="176"/>
      <c r="H39" s="177"/>
      <c r="I39" s="182">
        <v>1.0529999999999999</v>
      </c>
      <c r="J39" s="183"/>
      <c r="K39" s="171">
        <f>F39*$I$39</f>
        <v>1625999.1389309163</v>
      </c>
      <c r="L39" s="171"/>
      <c r="M39" s="171">
        <f>K39*1.2</f>
        <v>1951198.9667170995</v>
      </c>
      <c r="N39" s="171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73" t="s">
        <v>2</v>
      </c>
      <c r="C40" s="173"/>
      <c r="D40" s="173"/>
      <c r="E40" s="173"/>
      <c r="F40" s="178">
        <f>P31</f>
        <v>10538939.910776502</v>
      </c>
      <c r="G40" s="178"/>
      <c r="H40" s="179"/>
      <c r="I40" s="184"/>
      <c r="J40" s="185"/>
      <c r="K40" s="171">
        <f t="shared" ref="K40:K41" si="13">F40*$I$39</f>
        <v>11097503.726047656</v>
      </c>
      <c r="L40" s="171"/>
      <c r="M40" s="171">
        <f>K40*1.2</f>
        <v>13317004.471257186</v>
      </c>
      <c r="N40" s="171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73" t="s">
        <v>3</v>
      </c>
      <c r="C41" s="173"/>
      <c r="D41" s="173"/>
      <c r="E41" s="173"/>
      <c r="F41" s="178">
        <f>P32</f>
        <v>4505153.5445999997</v>
      </c>
      <c r="G41" s="178"/>
      <c r="H41" s="179"/>
      <c r="I41" s="184"/>
      <c r="J41" s="185"/>
      <c r="K41" s="171">
        <f t="shared" si="13"/>
        <v>4743926.6824637996</v>
      </c>
      <c r="L41" s="171"/>
      <c r="M41" s="193">
        <f t="shared" ref="M41" si="14">K41*1.2</f>
        <v>5692712.0189565597</v>
      </c>
      <c r="N41" s="193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73" t="s">
        <v>4</v>
      </c>
      <c r="C42" s="173"/>
      <c r="D42" s="173"/>
      <c r="E42" s="173"/>
      <c r="F42" s="178"/>
      <c r="G42" s="178"/>
      <c r="H42" s="179"/>
      <c r="I42" s="184"/>
      <c r="J42" s="185"/>
      <c r="K42" s="198">
        <f>SUM(F43:H45)*$I$39</f>
        <v>3587810.0290446626</v>
      </c>
      <c r="L42" s="199"/>
      <c r="M42" s="198">
        <f>K42*1.2</f>
        <v>4305372.0348535953</v>
      </c>
      <c r="N42" s="199"/>
      <c r="O42" s="156" t="s">
        <v>77</v>
      </c>
      <c r="P42" s="157">
        <v>1.04761984318213</v>
      </c>
      <c r="Q42" s="154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204" t="s">
        <v>356</v>
      </c>
      <c r="C43" s="204"/>
      <c r="D43" s="204"/>
      <c r="E43" s="204"/>
      <c r="F43" s="202">
        <f>SUM(F39:H41)/100*P49</f>
        <v>354988.59669066168</v>
      </c>
      <c r="G43" s="202"/>
      <c r="H43" s="203"/>
      <c r="I43" s="184"/>
      <c r="J43" s="185"/>
      <c r="K43" s="200"/>
      <c r="L43" s="201"/>
      <c r="M43" s="200"/>
      <c r="N43" s="201"/>
      <c r="O43" s="158" t="s">
        <v>359</v>
      </c>
      <c r="P43" s="157">
        <f>1.0457995653007*P42</f>
        <v>1.0956003766002589</v>
      </c>
      <c r="Q43" s="154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204" t="s">
        <v>358</v>
      </c>
      <c r="C44" s="204"/>
      <c r="D44" s="204"/>
      <c r="E44" s="204"/>
      <c r="F44" s="202">
        <f>SUM(F39:H41)/100*P50</f>
        <v>1940825.5052713742</v>
      </c>
      <c r="G44" s="202"/>
      <c r="H44" s="203"/>
      <c r="I44" s="184"/>
      <c r="J44" s="185"/>
      <c r="K44" s="200"/>
      <c r="L44" s="201"/>
      <c r="M44" s="200"/>
      <c r="N44" s="201"/>
      <c r="O44" s="158" t="s">
        <v>360</v>
      </c>
      <c r="P44" s="157">
        <f>1.0457995653007*P43</f>
        <v>1.1457783975918339</v>
      </c>
      <c r="Q44" s="154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205" t="s">
        <v>357</v>
      </c>
      <c r="C45" s="205"/>
      <c r="D45" s="205"/>
      <c r="E45" s="205"/>
      <c r="F45" s="202">
        <f>SUM(F39:H41)/100*P51</f>
        <v>1111412.8961810435</v>
      </c>
      <c r="G45" s="202"/>
      <c r="H45" s="203"/>
      <c r="I45" s="184"/>
      <c r="J45" s="185"/>
      <c r="K45" s="200"/>
      <c r="L45" s="201"/>
      <c r="M45" s="200"/>
      <c r="N45" s="201"/>
      <c r="O45" s="158" t="s">
        <v>361</v>
      </c>
      <c r="P45" s="157">
        <f>1.0457995653007*P44</f>
        <v>1.1982545501324724</v>
      </c>
      <c r="Q45" s="154"/>
      <c r="R45" s="151"/>
      <c r="S45" s="22"/>
      <c r="T45" s="22"/>
      <c r="U45" s="22"/>
    </row>
    <row r="46" spans="1:21" ht="14.25" customHeight="1" x14ac:dyDescent="0.25">
      <c r="A46" s="206" t="s">
        <v>81</v>
      </c>
      <c r="B46" s="206"/>
      <c r="C46" s="206"/>
      <c r="D46" s="206"/>
      <c r="E46" s="206"/>
      <c r="F46" s="197">
        <f>SUM(F39:H45)</f>
        <v>19995479.179949701</v>
      </c>
      <c r="G46" s="197"/>
      <c r="H46" s="197"/>
      <c r="I46" s="197"/>
      <c r="J46" s="197"/>
      <c r="K46" s="196">
        <f>SUM(K39:L45)</f>
        <v>21055239.576487035</v>
      </c>
      <c r="L46" s="196"/>
      <c r="M46" s="196">
        <f>SUM(M39:N45)</f>
        <v>25266287.491784442</v>
      </c>
      <c r="N46" s="196"/>
      <c r="O46" s="158" t="s">
        <v>362</v>
      </c>
      <c r="P46" s="157">
        <f>1.0457995653007*P45</f>
        <v>1.2531340876481254</v>
      </c>
      <c r="Q46" s="154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95" t="s">
        <v>342</v>
      </c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95" t="s">
        <v>345</v>
      </c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4" t="s">
        <v>343</v>
      </c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4" t="s">
        <v>344</v>
      </c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53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5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7CECC24-2DE3-4C18-BDE0-4506A2D5FC8F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82" activePane="bottomLeft" state="frozen"/>
      <selection pane="bottomLeft" activeCell="G134" sqref="G134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t="22.5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t="22.5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t="22.5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2024-02-21T11:03:18Z</dcterms:modified>
</cp:coreProperties>
</file>