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N_23-1-17-0-08-04-0-0331\"/>
    </mc:Choice>
  </mc:AlternateContent>
  <xr:revisionPtr revIDLastSave="0" documentId="13_ncr:1_{7B513E69-C40B-452A-B038-0505BC86C4AD}" xr6:coauthVersionLast="36" xr6:coauthVersionMax="36" xr10:uidLastSave="{00000000-0000-0000-0000-000000000000}"/>
  <bookViews>
    <workbookView xWindow="0" yWindow="0" windowWidth="28740" windowHeight="1224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работ'!$A$1:$S$290</definedName>
    <definedName name="_xlnm.Print_Area" localSheetId="0">'Расчет стоимости ИП'!$A$1:$P$54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S74" i="5"/>
  <c r="S197" i="5"/>
  <c r="S291" i="5"/>
  <c r="H24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I17" i="4" s="1"/>
  <c r="O17" i="4" s="1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P155" i="5" l="1"/>
  <c r="I155" i="5" s="1"/>
  <c r="I198" i="5"/>
  <c r="J198" i="5" s="1"/>
  <c r="I202" i="5"/>
  <c r="S202" i="5" s="1"/>
  <c r="I203" i="5"/>
  <c r="J203" i="5" s="1"/>
  <c r="I207" i="5"/>
  <c r="J207" i="5" s="1"/>
  <c r="I209" i="5"/>
  <c r="J209" i="5" s="1"/>
  <c r="I221" i="5"/>
  <c r="J221" i="5" s="1"/>
  <c r="I247" i="5"/>
  <c r="J247" i="5" s="1"/>
  <c r="I285" i="5"/>
  <c r="J285" i="5" s="1"/>
  <c r="I286" i="5"/>
  <c r="J286" i="5" s="1"/>
  <c r="I287" i="5"/>
  <c r="J287" i="5" s="1"/>
  <c r="I289" i="5"/>
  <c r="J289" i="5" s="1"/>
  <c r="I290" i="5"/>
  <c r="J290" i="5" s="1"/>
  <c r="P105" i="5"/>
  <c r="I105" i="5" s="1"/>
  <c r="I45" i="5"/>
  <c r="S45" i="5" s="1"/>
  <c r="I173" i="5"/>
  <c r="J173" i="5" s="1"/>
  <c r="I11" i="5"/>
  <c r="J11" i="5" s="1"/>
  <c r="I27" i="5"/>
  <c r="S27" i="5" s="1"/>
  <c r="I55" i="5"/>
  <c r="J55" i="5" s="1"/>
  <c r="I59" i="5"/>
  <c r="J59" i="5" s="1"/>
  <c r="I256" i="5"/>
  <c r="J256" i="5" s="1"/>
  <c r="I40" i="5"/>
  <c r="S40" i="5" s="1"/>
  <c r="I48" i="5"/>
  <c r="J48" i="5" s="1"/>
  <c r="P104" i="5"/>
  <c r="I104" i="5" s="1"/>
  <c r="P143" i="5"/>
  <c r="I143" i="5" s="1"/>
  <c r="P166" i="5"/>
  <c r="I166" i="5" s="1"/>
  <c r="C3" i="5"/>
  <c r="L3" i="5" s="1"/>
  <c r="I3" i="5" s="1"/>
  <c r="C76" i="5"/>
  <c r="L76" i="5" s="1"/>
  <c r="I76" i="5" s="1"/>
  <c r="J76" i="5" s="1"/>
  <c r="P97" i="5"/>
  <c r="I97" i="5" s="1"/>
  <c r="P133" i="5"/>
  <c r="I133" i="5" s="1"/>
  <c r="C160" i="5"/>
  <c r="L160" i="5" s="1"/>
  <c r="I160" i="5" s="1"/>
  <c r="C191" i="5"/>
  <c r="L191" i="5" s="1"/>
  <c r="I191" i="5" s="1"/>
  <c r="P5" i="5"/>
  <c r="I5" i="5" s="1"/>
  <c r="J5" i="5" s="1"/>
  <c r="I63" i="5"/>
  <c r="J63" i="5" s="1"/>
  <c r="I71" i="5"/>
  <c r="S71" i="5" s="1"/>
  <c r="P87" i="5"/>
  <c r="I87" i="5" s="1"/>
  <c r="I138" i="5"/>
  <c r="J138" i="5" s="1"/>
  <c r="I223" i="5"/>
  <c r="S223" i="5" s="1"/>
  <c r="I224" i="5"/>
  <c r="J224" i="5" s="1"/>
  <c r="I225" i="5"/>
  <c r="J225" i="5" s="1"/>
  <c r="I226" i="5"/>
  <c r="J226" i="5" s="1"/>
  <c r="I227" i="5"/>
  <c r="J227" i="5" s="1"/>
  <c r="I228" i="5"/>
  <c r="S228" i="5" s="1"/>
  <c r="I229" i="5"/>
  <c r="J229" i="5" s="1"/>
  <c r="I231" i="5"/>
  <c r="S231" i="5" s="1"/>
  <c r="I237" i="5"/>
  <c r="J237" i="5" s="1"/>
  <c r="I239" i="5"/>
  <c r="J239" i="5" s="1"/>
  <c r="I245" i="5"/>
  <c r="J245" i="5" s="1"/>
  <c r="I25" i="5"/>
  <c r="J25" i="5" s="1"/>
  <c r="I28" i="5"/>
  <c r="J28" i="5" s="1"/>
  <c r="I39" i="5"/>
  <c r="J39" i="5" s="1"/>
  <c r="I47" i="5"/>
  <c r="J47" i="5" s="1"/>
  <c r="I60" i="5"/>
  <c r="J60" i="5" s="1"/>
  <c r="I130" i="5"/>
  <c r="J130" i="5" s="1"/>
  <c r="C186" i="5"/>
  <c r="L186" i="5" s="1"/>
  <c r="I186" i="5" s="1"/>
  <c r="I220" i="5"/>
  <c r="J220" i="5" s="1"/>
  <c r="I249" i="5"/>
  <c r="J249" i="5" s="1"/>
  <c r="I251" i="5"/>
  <c r="J251" i="5" s="1"/>
  <c r="I255" i="5"/>
  <c r="S255" i="5" s="1"/>
  <c r="I261" i="5"/>
  <c r="J261" i="5" s="1"/>
  <c r="I263" i="5"/>
  <c r="J263" i="5" s="1"/>
  <c r="I265" i="5"/>
  <c r="J265" i="5" s="1"/>
  <c r="I268" i="5"/>
  <c r="J268" i="5" s="1"/>
  <c r="I271" i="5"/>
  <c r="J271" i="5" s="1"/>
  <c r="P171" i="5"/>
  <c r="I171" i="5" s="1"/>
  <c r="I16" i="5"/>
  <c r="I23" i="5"/>
  <c r="I46" i="5"/>
  <c r="I69" i="5"/>
  <c r="P81" i="5"/>
  <c r="I81" i="5" s="1"/>
  <c r="C85" i="5"/>
  <c r="L85" i="5" s="1"/>
  <c r="I85" i="5" s="1"/>
  <c r="I141" i="5"/>
  <c r="I210" i="5"/>
  <c r="I213" i="5"/>
  <c r="I277" i="5"/>
  <c r="P107" i="5"/>
  <c r="I107" i="5" s="1"/>
  <c r="P115" i="5"/>
  <c r="I115" i="5" s="1"/>
  <c r="P152" i="5"/>
  <c r="I152" i="5" s="1"/>
  <c r="P190" i="5"/>
  <c r="I190" i="5" s="1"/>
  <c r="I35" i="5"/>
  <c r="I51" i="5"/>
  <c r="I132" i="5"/>
  <c r="I135" i="5"/>
  <c r="I194" i="5"/>
  <c r="I266" i="5"/>
  <c r="I269" i="5"/>
  <c r="I280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175" i="5" s="1"/>
  <c r="I211" i="5"/>
  <c r="I275" i="5"/>
  <c r="C80" i="5"/>
  <c r="L80" i="5" s="1"/>
  <c r="I80" i="5" s="1"/>
  <c r="C109" i="5"/>
  <c r="L109" i="5" s="1"/>
  <c r="I109" i="5" s="1"/>
  <c r="C158" i="5"/>
  <c r="L158" i="5" s="1"/>
  <c r="I158" i="5" s="1"/>
  <c r="I31" i="5"/>
  <c r="I7" i="5"/>
  <c r="P154" i="5"/>
  <c r="I154" i="5" s="1"/>
  <c r="I238" i="5"/>
  <c r="P4" i="5"/>
  <c r="I4" i="5" s="1"/>
  <c r="I15" i="5"/>
  <c r="I22" i="5"/>
  <c r="I20" i="5"/>
  <c r="I43" i="5"/>
  <c r="P102" i="5"/>
  <c r="I102" i="5" s="1"/>
  <c r="P176" i="5"/>
  <c r="I176" i="5" s="1"/>
  <c r="I232" i="5"/>
  <c r="I273" i="5"/>
  <c r="C159" i="5"/>
  <c r="L159" i="5" s="1"/>
  <c r="I159" i="5" s="1"/>
  <c r="I250" i="5"/>
  <c r="I253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C117" i="5"/>
  <c r="L117" i="5" s="1"/>
  <c r="P117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34" i="5"/>
  <c r="I142" i="5"/>
  <c r="P153" i="5"/>
  <c r="I153" i="5" s="1"/>
  <c r="I199" i="5"/>
  <c r="I200" i="5"/>
  <c r="I201" i="5"/>
  <c r="P94" i="5"/>
  <c r="I94" i="5" s="1"/>
  <c r="P96" i="5"/>
  <c r="I96" i="5" s="1"/>
  <c r="P106" i="5"/>
  <c r="I106" i="5" s="1"/>
  <c r="I137" i="5"/>
  <c r="P161" i="5"/>
  <c r="I161" i="5" s="1"/>
  <c r="P163" i="5"/>
  <c r="I163" i="5" s="1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P196" i="5"/>
  <c r="I196" i="5" s="1"/>
  <c r="I252" i="5"/>
  <c r="I284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J202" i="5" l="1"/>
  <c r="S221" i="5"/>
  <c r="S198" i="5"/>
  <c r="S207" i="5"/>
  <c r="S76" i="5"/>
  <c r="S289" i="5"/>
  <c r="S203" i="5"/>
  <c r="S59" i="5"/>
  <c r="S229" i="5"/>
  <c r="S285" i="5"/>
  <c r="J255" i="5"/>
  <c r="S268" i="5"/>
  <c r="S290" i="5"/>
  <c r="J40" i="5"/>
  <c r="S286" i="5"/>
  <c r="S60" i="5"/>
  <c r="S209" i="5"/>
  <c r="S247" i="5"/>
  <c r="S173" i="5"/>
  <c r="S287" i="5"/>
  <c r="S25" i="5"/>
  <c r="S237" i="5"/>
  <c r="I179" i="5"/>
  <c r="J179" i="5" s="1"/>
  <c r="I169" i="5"/>
  <c r="S169" i="5" s="1"/>
  <c r="I185" i="5"/>
  <c r="J185" i="5" s="1"/>
  <c r="J228" i="5"/>
  <c r="S249" i="5"/>
  <c r="S220" i="5"/>
  <c r="S63" i="5"/>
  <c r="J27" i="5"/>
  <c r="J223" i="5"/>
  <c r="S256" i="5"/>
  <c r="S11" i="5"/>
  <c r="S130" i="5"/>
  <c r="S47" i="5"/>
  <c r="S138" i="5"/>
  <c r="J231" i="5"/>
  <c r="S261" i="5"/>
  <c r="J45" i="5"/>
  <c r="I180" i="5"/>
  <c r="J180" i="5" s="1"/>
  <c r="S239" i="5"/>
  <c r="S48" i="5"/>
  <c r="S28" i="5"/>
  <c r="J71" i="5"/>
  <c r="S97" i="5"/>
  <c r="J97" i="5"/>
  <c r="S5" i="5"/>
  <c r="S226" i="5"/>
  <c r="S225" i="5"/>
  <c r="S39" i="5"/>
  <c r="S245" i="5"/>
  <c r="S271" i="5"/>
  <c r="S265" i="5"/>
  <c r="S227" i="5"/>
  <c r="S55" i="5"/>
  <c r="S224" i="5"/>
  <c r="S251" i="5"/>
  <c r="S263" i="5"/>
  <c r="I168" i="5"/>
  <c r="S168" i="5" s="1"/>
  <c r="I165" i="5"/>
  <c r="J165" i="5" s="1"/>
  <c r="I162" i="5"/>
  <c r="J162" i="5" s="1"/>
  <c r="I99" i="5"/>
  <c r="J99" i="5" s="1"/>
  <c r="I128" i="5"/>
  <c r="J128" i="5" s="1"/>
  <c r="I178" i="5"/>
  <c r="J178" i="5" s="1"/>
  <c r="J80" i="5"/>
  <c r="S80" i="5"/>
  <c r="J116" i="5"/>
  <c r="S116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H17" i="4" s="1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79" i="5"/>
  <c r="S79" i="5"/>
  <c r="J204" i="5"/>
  <c r="S204" i="5"/>
  <c r="J194" i="5"/>
  <c r="S194" i="5"/>
  <c r="J77" i="5"/>
  <c r="S77" i="5"/>
  <c r="J191" i="5"/>
  <c r="S191" i="5"/>
  <c r="I195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31" i="5"/>
  <c r="S131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9" i="5" l="1"/>
  <c r="H16" i="4"/>
  <c r="N16" i="4" s="1"/>
  <c r="L16" i="4" s="1"/>
  <c r="J169" i="5"/>
  <c r="S162" i="5"/>
  <c r="S185" i="5"/>
  <c r="S180" i="5"/>
  <c r="S99" i="5"/>
  <c r="S128" i="5"/>
  <c r="J168" i="5"/>
  <c r="S165" i="5"/>
  <c r="S178" i="5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K41" i="4" s="1"/>
  <c r="P16" i="4"/>
  <c r="M41" i="4" l="1"/>
  <c r="P33" i="4"/>
  <c r="P31" i="4"/>
  <c r="F40" i="4" s="1"/>
  <c r="K40" i="4" l="1"/>
  <c r="M40" i="4" s="1"/>
  <c r="P29" i="4"/>
  <c r="P34" i="4"/>
  <c r="F39" i="4"/>
  <c r="K39" i="4" s="1"/>
  <c r="F46" i="4" l="1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<sst xmlns="http://schemas.openxmlformats.org/spreadsheetml/2006/main" count="407" uniqueCount="366">
  <si>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</si>
  <si>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</si>
  <si>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</si>
  <si>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</si>
  <si>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</si>
  <si>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</si>
  <si>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</si>
  <si>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</si>
  <si>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</si>
  <si>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</si>
  <si>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</si>
  <si>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</si>
  <si>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</si>
  <si>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</si>
  <si>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</si>
  <si>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</si>
  <si>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</si>
  <si>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</si>
  <si>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</si>
  <si>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</si>
  <si>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</si>
  <si>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</si>
  <si>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</si>
  <si>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</si>
  <si>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</si>
  <si>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</si>
  <si>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</si>
  <si>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</si>
  <si>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</si>
  <si>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</si>
  <si>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</si>
  <si>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</si>
  <si>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</si>
  <si>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</si>
  <si>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</si>
  <si>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</si>
  <si>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</si>
  <si>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</si>
  <si>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</si>
  <si>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</si>
  <si>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</si>
  <si>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</si>
  <si>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</si>
  <si>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</si>
  <si>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</si>
  <si>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</si>
  <si>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</si>
  <si>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</si>
  <si>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</si>
  <si>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</si>
  <si>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</si>
  <si>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</si>
  <si>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</si>
  <si>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</si>
  <si>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</si>
  <si>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</si>
  <si>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</si>
  <si>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</si>
  <si>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</si>
  <si>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</si>
  <si>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</si>
  <si>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</si>
  <si>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</si>
  <si>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</si>
  <si>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</si>
  <si>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</si>
  <si>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</si>
  <si>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</si>
  <si>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</si>
  <si>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</si>
  <si>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</si>
  <si>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</si>
  <si>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</si>
  <si>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</si>
  <si>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</si>
  <si>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</si>
  <si>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</si>
  <si>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</si>
  <si>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</si>
  <si>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</si>
  <si>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</si>
  <si>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</si>
  <si>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</si>
  <si>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</si>
  <si>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</si>
  <si>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</si>
  <si>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</si>
  <si>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</si>
  <si>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</si>
  <si>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</si>
  <si>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</si>
  <si>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</si>
  <si>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</si>
  <si>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</si>
  <si>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</si>
  <si>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</si>
  <si>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</si>
  <si>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</si>
  <si>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</si>
  <si>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</si>
  <si>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</si>
  <si>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</si>
  <si>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</si>
  <si>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</si>
  <si>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</si>
  <si>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</si>
  <si>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</si>
  <si>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</si>
  <si>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</si>
  <si>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</si>
  <si>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</si>
  <si>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</si>
  <si>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</si>
  <si>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</si>
  <si>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</si>
  <si>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</si>
  <si>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</si>
  <si>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</si>
  <si>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</si>
  <si>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</si>
  <si>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</si>
  <si>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</si>
  <si>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</si>
  <si>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</si>
  <si>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</si>
  <si>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</si>
  <si>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</si>
  <si>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</si>
  <si>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</si>
  <si>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</si>
  <si>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</si>
  <si>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</si>
  <si>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</si>
  <si>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</si>
  <si>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</si>
  <si>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</si>
  <si>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</si>
  <si>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</si>
  <si>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</si>
  <si>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</si>
  <si>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</si>
  <si>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</si>
  <si>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</si>
  <si>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</si>
  <si>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</si>
  <si>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</si>
  <si>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</si>
  <si>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</si>
  <si>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</si>
  <si>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</si>
  <si>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</si>
  <si>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</si>
  <si>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</si>
  <si>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</si>
  <si>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</si>
  <si>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</si>
  <si>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</si>
  <si>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</si>
  <si>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</si>
  <si>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</si>
  <si>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</si>
  <si>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</si>
  <si>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</si>
  <si>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</si>
  <si>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</si>
  <si>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</si>
  <si>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</si>
  <si>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</si>
  <si>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</si>
  <si>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</si>
  <si>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</si>
  <si>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</si>
  <si>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</si>
  <si>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</si>
  <si>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</si>
  <si>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</si>
  <si>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</si>
  <si>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</si>
  <si>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</si>
  <si>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</si>
  <si>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</si>
  <si>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</si>
  <si>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</si>
  <si>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</si>
  <si>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</si>
  <si>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</si>
  <si>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</si>
  <si>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</si>
  <si>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</si>
  <si>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</si>
  <si>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</si>
  <si>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</si>
  <si>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</si>
  <si>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</si>
  <si>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</si>
  <si>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</si>
  <si>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</si>
  <si>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</si>
  <si>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</si>
  <si>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</si>
  <si>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</si>
  <si>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</si>
  <si>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</si>
  <si>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</si>
  <si>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</si>
  <si>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</si>
  <si>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</si>
  <si>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</si>
  <si>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</si>
  <si>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</si>
  <si>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</si>
  <si>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</si>
  <si>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</si>
  <si>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</si>
  <si>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</si>
  <si>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</si>
  <si>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</si>
  <si>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</si>
  <si>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</si>
  <si>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</si>
  <si>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</si>
  <si>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</si>
  <si>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</si>
  <si>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</si>
  <si>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</si>
  <si>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</si>
  <si>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</si>
  <si>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</si>
  <si>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</si>
  <si>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</si>
  <si>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</si>
  <si>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</si>
  <si>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</si>
  <si>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</si>
  <si>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</si>
  <si>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</si>
  <si>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</si>
  <si>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</si>
  <si>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</si>
  <si>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</si>
  <si>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</si>
  <si>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</si>
  <si>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</si>
  <si>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</si>
  <si>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</si>
  <si>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</si>
  <si>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</si>
  <si>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</si>
  <si>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</si>
  <si>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</si>
  <si>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</si>
  <si>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</si>
  <si>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</si>
  <si>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</si>
  <si>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</si>
  <si>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</si>
  <si>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</si>
  <si>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</si>
  <si>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</si>
  <si>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</si>
  <si>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</si>
  <si>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</si>
  <si>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</si>
  <si>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</si>
  <si>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</si>
  <si>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</si>
  <si>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</si>
  <si>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</si>
  <si>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</si>
  <si>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</si>
  <si>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</si>
  <si>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</si>
  <si>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</si>
  <si>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</si>
  <si>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</si>
  <si>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</si>
  <si>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</si>
  <si>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</si>
  <si>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</si>
  <si>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</si>
  <si>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</si>
  <si>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</si>
  <si>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</si>
  <si>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</si>
  <si>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</si>
  <si>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</si>
  <si>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</si>
  <si>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</si>
  <si>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</si>
  <si>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</si>
  <si>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</si>
  <si>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</si>
  <si>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</si>
  <si>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</si>
  <si>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</si>
  <si>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</si>
  <si>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</si>
  <si>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</si>
  <si>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</si>
  <si>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</si>
  <si>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</si>
  <si>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</si>
  <si>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</si>
  <si>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</si>
  <si>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</si>
  <si>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</si>
  <si>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</si>
  <si>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</si>
  <si>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</si>
  <si>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</si>
  <si>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</si>
  <si>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</si>
  <si>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</si>
  <si>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</si>
  <si>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</si>
  <si>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</si>
  <si>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</si>
  <si>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</si>
  <si>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</si>
  <si>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</si>
  <si>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</si>
  <si>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</si>
  <si>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</si>
  <si>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</si>
  <si>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</si>
  <si>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</si>
  <si>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</si>
  <si>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</si>
  <si>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</si>
  <si>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</si>
  <si>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</si>
  <si>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</si>
  <si>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</si>
  <si>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</si>
  <si>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</si>
  <si>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</si>
  <si>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</si>
  <si>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</si>
  <si>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</si>
  <si>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</si>
  <si>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</si>
  <si>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</si>
  <si>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</si>
  <si>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</si>
  <si>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</si>
  <si>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</si>
  <si>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</si>
  <si>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</si>
  <si>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</si>
  <si>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>Сумма в ценах текущего года составления сметного расчета, без НДС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</si>
  <si>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</si>
  <si>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</si>
  <si>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</si>
  <si>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</si>
  <si>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</si>
  <si>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</si>
  <si>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</si>
  <si>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</si>
  <si>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</si>
  <si>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</si>
  <si>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</si>
  <si>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</si>
  <si>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 xml:space="preserve">Сумма в прогнозных ценах 
без НДС тыс.руб </t>
  </si>
  <si>
    <t xml:space="preserve">Сумма в прогнозных ценах с НДС, тыс. руб.    </t>
  </si>
  <si>
    <t>N_23-1-17-0-08-04-0-0331</t>
  </si>
  <si>
    <t>Реконструкция оборудования ТП-159 с заменой трансформатора 0,63 МВА на 1,00 МВА и РУ-0,4 кВ (1 шт) по договору ТП №17-059/005-ПС-22 в д. Новосаратовка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</si>
</sst>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2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view="pageBreakPreview" zoomScale="85" zoomScaleNormal="85" zoomScaleSheetLayoutView="85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23.25" customHeight="1" x14ac:dyDescent="0.25">
      <c r="A5" s="153" t="s">
        <v>365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</row>
    <row r="6" spans="1:22" ht="10.5" customHeight="1" x14ac:dyDescent="0.25"/>
    <row r="7" spans="1:22" ht="13.5" customHeight="1" x14ac:dyDescent="0.25">
      <c r="A7" s="6" t="s">
        <v>8</v>
      </c>
      <c r="H7" s="154" t="s">
        <v>364</v>
      </c>
      <c r="I7" s="154"/>
      <c r="J7" s="154"/>
      <c r="K7" s="154"/>
      <c r="L7" s="154"/>
      <c r="M7" s="154"/>
      <c r="N7" s="154"/>
      <c r="O7" s="154"/>
      <c r="P7" s="154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4" t="s">
        <v>78</v>
      </c>
      <c r="I9" s="154"/>
      <c r="J9" s="154"/>
      <c r="K9" s="154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360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4" t="s">
        <v>9</v>
      </c>
      <c r="B13" s="134" t="s">
        <v>12</v>
      </c>
      <c r="C13" s="155" t="s">
        <v>345</v>
      </c>
      <c r="D13" s="157" t="s">
        <v>328</v>
      </c>
      <c r="E13" s="136"/>
      <c r="F13" s="136"/>
      <c r="G13" s="137"/>
      <c r="H13" s="155" t="s">
        <v>346</v>
      </c>
      <c r="I13" s="155" t="s">
        <v>361</v>
      </c>
      <c r="J13" s="134" t="s">
        <v>10</v>
      </c>
      <c r="K13" s="133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3" t="s">
        <v>349</v>
      </c>
      <c r="Q13" s="27"/>
    </row>
    <row r="14" spans="1:22" ht="33.75" customHeight="1" x14ac:dyDescent="0.25">
      <c r="A14" s="134"/>
      <c r="B14" s="134"/>
      <c r="C14" s="156"/>
      <c r="D14" s="106" t="s">
        <v>94</v>
      </c>
      <c r="E14" s="106" t="s">
        <v>96</v>
      </c>
      <c r="F14" s="106" t="s">
        <v>98</v>
      </c>
      <c r="G14" s="106" t="s">
        <v>327</v>
      </c>
      <c r="H14" s="156"/>
      <c r="I14" s="156"/>
      <c r="J14" s="134"/>
      <c r="K14" s="133"/>
      <c r="L14" s="105" t="s">
        <v>1</v>
      </c>
      <c r="M14" s="105" t="s">
        <v>326</v>
      </c>
      <c r="N14" s="105" t="s">
        <v>2</v>
      </c>
      <c r="O14" s="105" t="s">
        <v>3</v>
      </c>
      <c r="P14" s="133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27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9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18.75" customHeight="1" x14ac:dyDescent="0.25">
      <c r="A16" s="11"/>
      <c r="B16" s="76" t="s">
        <v>159</v>
      </c>
      <c r="C16" s="45">
        <f>VLOOKUP($B$16:$B$29,'Наименование работ'!B:H,6,)</f>
        <v>9949.2900000000009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104607.37820000004</v>
      </c>
      <c r="I16" s="44">
        <f>VLOOKUP($B$16:$B$29,'Наименование работ'!B:R,17,)</f>
        <v>23660.037000000004</v>
      </c>
      <c r="J16" s="46" t="s">
        <v>350</v>
      </c>
      <c r="K16" s="104">
        <v>1</v>
      </c>
      <c r="L16" s="40">
        <f>(N16+O16)*0.08</f>
        <v>10261.393216000004</v>
      </c>
      <c r="M16" s="40">
        <v>30000</v>
      </c>
      <c r="N16" s="42">
        <f>K16*H16</f>
        <v>104607.37820000004</v>
      </c>
      <c r="O16" s="42">
        <f>K16*I16</f>
        <v>23660.037000000004</v>
      </c>
      <c r="P16" s="42">
        <f t="shared" ref="P16" si="0">SUM(L16:O16)</f>
        <v>168528.80841600004</v>
      </c>
      <c r="Q16" s="28"/>
      <c r="R16" s="28"/>
      <c r="S16" s="28"/>
      <c r="T16" s="28"/>
      <c r="U16" s="22"/>
      <c r="V16" s="18"/>
    </row>
    <row r="17" spans="1:22" ht="30.75" customHeight="1" x14ac:dyDescent="0.25">
      <c r="A17" s="11"/>
      <c r="B17" s="76" t="s">
        <v>147</v>
      </c>
      <c r="C17" s="45">
        <f>VLOOKUP($B$16:$B$29,'Наименование работ'!B:H,6,)</f>
        <v>132951.70000000001</v>
      </c>
      <c r="D17" s="45">
        <f>VLOOKUP($B$16:$B$29,'Наименование работ'!B:K,10,)</f>
        <v>17.96</v>
      </c>
      <c r="E17" s="45">
        <f>VLOOKUP($B$16:$B$29,'Наименование работ'!B:M,12,)</f>
        <v>9.84</v>
      </c>
      <c r="F17" s="45">
        <f>VLOOKUP($B$16:$B$29,'Наименование работ'!B:O,14,)</f>
        <v>7.61</v>
      </c>
      <c r="G17" s="45">
        <f>VLOOKUP($B$16:$B$29,'Наименование работ'!B:Q,16,)</f>
        <v>6.19</v>
      </c>
      <c r="H17" s="44">
        <f>VLOOKUP(B17:B30,'Наименование работ'!B:S,18,)</f>
        <v>335963.4616000005</v>
      </c>
      <c r="I17" s="44">
        <f>VLOOKUP($B$16:$B$29,'Наименование работ'!B:R,17,)</f>
        <v>700186.05920000002</v>
      </c>
      <c r="J17" s="46" t="s">
        <v>350</v>
      </c>
      <c r="K17" s="104">
        <v>1</v>
      </c>
      <c r="L17" s="40">
        <f t="shared" ref="L17:L29" si="1">(N17+O17)*0.08</f>
        <v>82891.961664000046</v>
      </c>
      <c r="M17" s="40">
        <f t="shared" ref="M17:M29" si="2">U16*K17</f>
        <v>0</v>
      </c>
      <c r="N17" s="42">
        <f t="shared" ref="N17:N29" si="3">K17*H17</f>
        <v>335963.4616000005</v>
      </c>
      <c r="O17" s="42">
        <f t="shared" ref="O17:O29" si="4">K17*I17</f>
        <v>700186.05920000002</v>
      </c>
      <c r="P17" s="42">
        <f t="shared" ref="P17" si="5">SUM(L17:O17)</f>
        <v>1119041.4824640006</v>
      </c>
      <c r="Q17" s="28"/>
      <c r="R17" s="28"/>
      <c r="S17" s="28"/>
      <c r="T17" s="28"/>
      <c r="U17" s="22"/>
      <c r="V17" s="18"/>
    </row>
    <row r="18" spans="1:22" ht="23.25" hidden="1" customHeight="1" x14ac:dyDescent="0.25">
      <c r="A18" s="11"/>
      <c r="B18" s="48" t="s">
        <v>340</v>
      </c>
      <c r="C18" s="45">
        <f>VLOOKUP($B$16:$B$29,'Наименование работ'!B:H,6,)</f>
        <v>0</v>
      </c>
      <c r="D18" s="45">
        <f>VLOOKUP($B$16:$B$29,'Наименование работ'!B:K,10,)</f>
        <v>0</v>
      </c>
      <c r="E18" s="45">
        <f>VLOOKUP($B$16:$B$29,'Наименование работ'!B:M,12,)</f>
        <v>0</v>
      </c>
      <c r="F18" s="45">
        <f>VLOOKUP($B$16:$B$29,'Наименование работ'!B:O,14,)</f>
        <v>0</v>
      </c>
      <c r="G18" s="45">
        <f>VLOOKUP($B$16:$B$29,'Наименование работ'!B:Q,16,)</f>
        <v>0</v>
      </c>
      <c r="H18" s="44">
        <f>VLOOKUP(B18:B31,'Наименование работ'!B:S,18,)</f>
        <v>0</v>
      </c>
      <c r="I18" s="44">
        <f>VLOOKUP($B$16:$B$29,'Наименование работ'!B:R,17,)</f>
        <v>0</v>
      </c>
      <c r="J18" s="46" t="s">
        <v>350</v>
      </c>
      <c r="K18" s="104">
        <v>0</v>
      </c>
      <c r="L18" s="40">
        <f t="shared" si="1"/>
        <v>0</v>
      </c>
      <c r="M18" s="40">
        <f t="shared" si="2"/>
        <v>0</v>
      </c>
      <c r="N18" s="42">
        <f t="shared" si="3"/>
        <v>0</v>
      </c>
      <c r="O18" s="42">
        <f t="shared" si="4"/>
        <v>0</v>
      </c>
      <c r="P18" s="42">
        <f t="shared" ref="P18" si="6">SUM(L18:O18)</f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350</v>
      </c>
      <c r="K19" s="104">
        <v>0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ref="P19:P23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350</v>
      </c>
      <c r="K20" s="104">
        <v>0</v>
      </c>
      <c r="L20" s="40">
        <f t="shared" si="1"/>
        <v>0</v>
      </c>
      <c r="M20" s="40">
        <f t="shared" si="2"/>
        <v>0</v>
      </c>
      <c r="N20" s="42">
        <f t="shared" si="3"/>
        <v>0</v>
      </c>
      <c r="O20" s="42">
        <f t="shared" si="4"/>
        <v>0</v>
      </c>
      <c r="P20" s="42">
        <f t="shared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350</v>
      </c>
      <c r="K21" s="104">
        <v>0</v>
      </c>
      <c r="L21" s="40">
        <f t="shared" si="1"/>
        <v>0</v>
      </c>
      <c r="M21" s="40">
        <f t="shared" si="2"/>
        <v>0</v>
      </c>
      <c r="N21" s="42">
        <f t="shared" si="3"/>
        <v>0</v>
      </c>
      <c r="O21" s="42">
        <f t="shared" si="4"/>
        <v>0</v>
      </c>
      <c r="P21" s="42">
        <f t="shared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350</v>
      </c>
      <c r="K22" s="104">
        <v>0</v>
      </c>
      <c r="L22" s="40">
        <f t="shared" si="1"/>
        <v>0</v>
      </c>
      <c r="M22" s="40">
        <f t="shared" si="2"/>
        <v>0</v>
      </c>
      <c r="N22" s="42">
        <f t="shared" si="3"/>
        <v>0</v>
      </c>
      <c r="O22" s="42">
        <f t="shared" si="4"/>
        <v>0</v>
      </c>
      <c r="P22" s="42">
        <f t="shared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350</v>
      </c>
      <c r="K23" s="104">
        <v>0</v>
      </c>
      <c r="L23" s="40">
        <f t="shared" si="1"/>
        <v>0</v>
      </c>
      <c r="M23" s="40">
        <f t="shared" si="2"/>
        <v>0</v>
      </c>
      <c r="N23" s="42">
        <f t="shared" si="3"/>
        <v>0</v>
      </c>
      <c r="O23" s="42">
        <f t="shared" si="4"/>
        <v>0</v>
      </c>
      <c r="P23" s="42">
        <f t="shared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350</v>
      </c>
      <c r="K24" s="104">
        <v>0</v>
      </c>
      <c r="L24" s="40">
        <f t="shared" si="1"/>
        <v>0</v>
      </c>
      <c r="M24" s="40">
        <f t="shared" si="2"/>
        <v>0</v>
      </c>
      <c r="N24" s="42">
        <f t="shared" ref="N24:N28" si="8">K24*H24</f>
        <v>0</v>
      </c>
      <c r="O24" s="42">
        <f t="shared" si="4"/>
        <v>0</v>
      </c>
      <c r="P24" s="42">
        <f t="shared" ref="P24:P28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350</v>
      </c>
      <c r="K25" s="104">
        <v>0</v>
      </c>
      <c r="L25" s="40">
        <f t="shared" si="1"/>
        <v>0</v>
      </c>
      <c r="M25" s="40">
        <f t="shared" si="2"/>
        <v>0</v>
      </c>
      <c r="N25" s="42">
        <f t="shared" si="8"/>
        <v>0</v>
      </c>
      <c r="O25" s="42">
        <f t="shared" si="4"/>
        <v>0</v>
      </c>
      <c r="P25" s="42">
        <f t="shared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350</v>
      </c>
      <c r="K26" s="104">
        <v>0</v>
      </c>
      <c r="L26" s="40">
        <f t="shared" si="1"/>
        <v>0</v>
      </c>
      <c r="M26" s="40">
        <f t="shared" si="2"/>
        <v>0</v>
      </c>
      <c r="N26" s="42">
        <f t="shared" si="8"/>
        <v>0</v>
      </c>
      <c r="O26" s="42">
        <f t="shared" si="4"/>
        <v>0</v>
      </c>
      <c r="P26" s="42">
        <f t="shared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350</v>
      </c>
      <c r="K27" s="104">
        <v>0</v>
      </c>
      <c r="L27" s="40">
        <f t="shared" si="1"/>
        <v>0</v>
      </c>
      <c r="M27" s="40">
        <f t="shared" si="2"/>
        <v>0</v>
      </c>
      <c r="N27" s="42">
        <f t="shared" si="8"/>
        <v>0</v>
      </c>
      <c r="O27" s="42">
        <f t="shared" si="4"/>
        <v>0</v>
      </c>
      <c r="P27" s="42">
        <f t="shared" si="9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350</v>
      </c>
      <c r="K28" s="104">
        <v>0</v>
      </c>
      <c r="L28" s="40">
        <f t="shared" si="1"/>
        <v>0</v>
      </c>
      <c r="M28" s="40">
        <f t="shared" si="2"/>
        <v>0</v>
      </c>
      <c r="N28" s="42">
        <f t="shared" si="8"/>
        <v>0</v>
      </c>
      <c r="O28" s="42">
        <f t="shared" si="4"/>
        <v>0</v>
      </c>
      <c r="P28" s="42">
        <f t="shared" si="9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350</v>
      </c>
      <c r="K29" s="104">
        <v>0</v>
      </c>
      <c r="L29" s="40">
        <f t="shared" si="1"/>
        <v>0</v>
      </c>
      <c r="M29" s="40">
        <f t="shared" si="2"/>
        <v>0</v>
      </c>
      <c r="N29" s="42">
        <f t="shared" si="3"/>
        <v>0</v>
      </c>
      <c r="O29" s="42">
        <f t="shared" si="4"/>
        <v>0</v>
      </c>
      <c r="P29" s="42">
        <f t="shared" ref="P29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0" t="s">
        <v>326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2"/>
      <c r="P30" s="42">
        <f>SUM(M16:M29)</f>
        <v>30000</v>
      </c>
    </row>
    <row r="31" spans="1:22" ht="12.75" customHeight="1" x14ac:dyDescent="0.25">
      <c r="A31" s="9"/>
      <c r="B31" s="150" t="s">
        <v>2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2"/>
      <c r="P31" s="43">
        <f>SUM(N16:N29)</f>
        <v>440570.83980000054</v>
      </c>
    </row>
    <row r="32" spans="1:22" ht="12.75" customHeight="1" x14ac:dyDescent="0.25">
      <c r="A32" s="9"/>
      <c r="B32" s="150" t="s">
        <v>3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2"/>
      <c r="P32" s="43">
        <f>SUM(O16:O29)</f>
        <v>723846.09620000003</v>
      </c>
    </row>
    <row r="33" spans="1:21" ht="12.75" customHeight="1" x14ac:dyDescent="0.25">
      <c r="A33" s="9"/>
      <c r="B33" s="150" t="s">
        <v>357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2"/>
      <c r="P33" s="43">
        <f>SUM(L16:L29)</f>
        <v>93153.354880000057</v>
      </c>
      <c r="Q33" s="36"/>
      <c r="R33" s="36"/>
    </row>
    <row r="34" spans="1:21" ht="12.75" customHeight="1" x14ac:dyDescent="0.25">
      <c r="A34" s="9"/>
      <c r="B34" s="130" t="s">
        <v>15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2"/>
      <c r="P34" s="41">
        <f>SUM(P30:P33)</f>
        <v>1287570.2908800007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41.25" customHeight="1" x14ac:dyDescent="0.25">
      <c r="A38" s="37" t="s">
        <v>9</v>
      </c>
      <c r="B38" s="134" t="s">
        <v>0</v>
      </c>
      <c r="C38" s="134"/>
      <c r="D38" s="134"/>
      <c r="E38" s="134"/>
      <c r="F38" s="136" t="s">
        <v>348</v>
      </c>
      <c r="G38" s="136"/>
      <c r="H38" s="137"/>
      <c r="I38" s="142" t="s">
        <v>356</v>
      </c>
      <c r="J38" s="143"/>
      <c r="K38" s="133" t="s">
        <v>362</v>
      </c>
      <c r="L38" s="133"/>
      <c r="M38" s="133" t="s">
        <v>363</v>
      </c>
      <c r="N38" s="133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5" t="s">
        <v>329</v>
      </c>
      <c r="C39" s="135"/>
      <c r="D39" s="135"/>
      <c r="E39" s="135"/>
      <c r="F39" s="138">
        <f>P33+P30</f>
        <v>123153.35488000006</v>
      </c>
      <c r="G39" s="138"/>
      <c r="H39" s="139"/>
      <c r="I39" s="144">
        <f>VLOOKUP(H9,Q39:R42,2,)</f>
        <v>1.0589</v>
      </c>
      <c r="J39" s="145"/>
      <c r="K39" s="126">
        <f>F39*$I$39/1000</f>
        <v>130.40708748243205</v>
      </c>
      <c r="L39" s="126"/>
      <c r="M39" s="126">
        <f>K39*1.2</f>
        <v>156.48850497891846</v>
      </c>
      <c r="N39" s="126"/>
      <c r="O39" s="158"/>
      <c r="P39" s="125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5" t="s">
        <v>2</v>
      </c>
      <c r="C40" s="135"/>
      <c r="D40" s="135"/>
      <c r="E40" s="135"/>
      <c r="F40" s="140">
        <f>P31</f>
        <v>440570.83980000054</v>
      </c>
      <c r="G40" s="140"/>
      <c r="H40" s="141"/>
      <c r="I40" s="146"/>
      <c r="J40" s="147"/>
      <c r="K40" s="126">
        <f>F40*$I$39/1000</f>
        <v>466.52046226422055</v>
      </c>
      <c r="L40" s="126"/>
      <c r="M40" s="126">
        <f>K40*1.2</f>
        <v>559.82455471706464</v>
      </c>
      <c r="N40" s="126"/>
      <c r="O40" s="158"/>
      <c r="P40" s="125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5" t="s">
        <v>3</v>
      </c>
      <c r="C41" s="135"/>
      <c r="D41" s="135"/>
      <c r="E41" s="135"/>
      <c r="F41" s="140">
        <f>P32</f>
        <v>723846.09620000003</v>
      </c>
      <c r="G41" s="140"/>
      <c r="H41" s="141"/>
      <c r="I41" s="146"/>
      <c r="J41" s="147"/>
      <c r="K41" s="126">
        <f>F41*$I$39/1000</f>
        <v>766.48063126618001</v>
      </c>
      <c r="L41" s="126"/>
      <c r="M41" s="126">
        <f t="shared" ref="M41" si="11">K41*1.2</f>
        <v>919.77675751941604</v>
      </c>
      <c r="N41" s="126"/>
      <c r="O41" s="158"/>
      <c r="P41" s="125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5" t="s">
        <v>7</v>
      </c>
      <c r="C42" s="135"/>
      <c r="D42" s="135"/>
      <c r="E42" s="135"/>
      <c r="F42" s="140"/>
      <c r="G42" s="140"/>
      <c r="H42" s="141"/>
      <c r="I42" s="146"/>
      <c r="J42" s="147"/>
      <c r="K42" s="161">
        <f>SUM(F43:H47)*$I$39/1000</f>
        <v>225.91673559382639</v>
      </c>
      <c r="L42" s="162"/>
      <c r="M42" s="161">
        <f>K42*1.2</f>
        <v>271.10008271259164</v>
      </c>
      <c r="N42" s="162"/>
      <c r="O42" s="158"/>
      <c r="P42" s="125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5" t="s">
        <v>4</v>
      </c>
      <c r="C43" s="135"/>
      <c r="D43" s="135"/>
      <c r="E43" s="135"/>
      <c r="F43" s="140">
        <f>SUM(F39:H41)*Q43</f>
        <v>12489.431821536007</v>
      </c>
      <c r="G43" s="140"/>
      <c r="H43" s="141"/>
      <c r="I43" s="146"/>
      <c r="J43" s="147"/>
      <c r="K43" s="163"/>
      <c r="L43" s="164"/>
      <c r="M43" s="163"/>
      <c r="N43" s="164"/>
      <c r="O43" s="158"/>
      <c r="P43" s="125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70" t="s">
        <v>358</v>
      </c>
      <c r="C44" s="170"/>
      <c r="D44" s="170"/>
      <c r="E44" s="170"/>
      <c r="F44" s="140">
        <f>SUM(F39:H41)*Q44</f>
        <v>27554.004224832013</v>
      </c>
      <c r="G44" s="140"/>
      <c r="H44" s="141"/>
      <c r="I44" s="146"/>
      <c r="J44" s="147"/>
      <c r="K44" s="163"/>
      <c r="L44" s="164"/>
      <c r="M44" s="163"/>
      <c r="N44" s="164"/>
      <c r="O44" s="158"/>
      <c r="P44" s="125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70" t="s">
        <v>359</v>
      </c>
      <c r="C45" s="170"/>
      <c r="D45" s="170"/>
      <c r="E45" s="170"/>
      <c r="F45" s="140">
        <f>SUM(F39:H41)*Q45</f>
        <v>108670.93255027206</v>
      </c>
      <c r="G45" s="140"/>
      <c r="H45" s="141"/>
      <c r="I45" s="146"/>
      <c r="J45" s="147"/>
      <c r="K45" s="163"/>
      <c r="L45" s="164"/>
      <c r="M45" s="163"/>
      <c r="N45" s="164"/>
      <c r="O45" s="158"/>
      <c r="P45" s="125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71" t="s">
        <v>6</v>
      </c>
      <c r="C46" s="171"/>
      <c r="D46" s="171"/>
      <c r="E46" s="171"/>
      <c r="F46" s="140">
        <f>SUM(F39:H41)*Q46</f>
        <v>36695.753290080022</v>
      </c>
      <c r="G46" s="140"/>
      <c r="H46" s="141"/>
      <c r="I46" s="146"/>
      <c r="J46" s="147"/>
      <c r="K46" s="163"/>
      <c r="L46" s="164"/>
      <c r="M46" s="163"/>
      <c r="N46" s="164"/>
      <c r="O46" s="158"/>
      <c r="P46" s="125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5" t="s">
        <v>5</v>
      </c>
      <c r="C47" s="135"/>
      <c r="D47" s="135"/>
      <c r="E47" s="135"/>
      <c r="F47" s="140">
        <f>SUM(F39:H41)*Q47</f>
        <v>27940.275312096015</v>
      </c>
      <c r="G47" s="140"/>
      <c r="H47" s="141"/>
      <c r="I47" s="148"/>
      <c r="J47" s="149"/>
      <c r="K47" s="165"/>
      <c r="L47" s="166"/>
      <c r="M47" s="165"/>
      <c r="N47" s="166"/>
      <c r="O47" s="158"/>
      <c r="P47" s="125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67" t="s">
        <v>86</v>
      </c>
      <c r="B48" s="167"/>
      <c r="C48" s="167"/>
      <c r="D48" s="167"/>
      <c r="E48" s="167"/>
      <c r="F48" s="168">
        <f>SUM(F39:H47)</f>
        <v>1500920.6880788167</v>
      </c>
      <c r="G48" s="169"/>
      <c r="H48" s="169"/>
      <c r="I48" s="169"/>
      <c r="J48" s="169"/>
      <c r="K48" s="124">
        <f>SUM(K39:L47)</f>
        <v>1589.3249166066591</v>
      </c>
      <c r="L48" s="124"/>
      <c r="M48" s="124">
        <f>SUM(M39:N47)</f>
        <v>1907.1898999279911</v>
      </c>
      <c r="N48" s="124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0" t="s">
        <v>352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0" t="s">
        <v>355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59" t="s">
        <v>353</v>
      </c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59" t="s">
        <v>354</v>
      </c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47" activePane="bottomLeft" state="frozen"/>
      <selection pane="bottomLeft" activeCell="B57" sqref="B57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351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15.7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1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14.25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2" xr:uid="{00000000-0009-0000-0000-000001000000}"/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2022-10-17T11:16:39Z</cp:lastPrinted>
  <dcterms:created xsi:type="dcterms:W3CDTF">2021-07-06T05:30:42Z</dcterms:created>
  <dcterms:modified xsi:type="dcterms:W3CDTF">2023-08-30T11:41:38Z</dcterms:modified>
</cp:coreProperties>
</file>