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20-1-08-03-0-0471\"/>
    </mc:Choice>
  </mc:AlternateContent>
  <xr:revisionPtr revIDLastSave="0" documentId="13_ncr:1_{66C531DF-08D3-46BF-BBF6-E247EFD194E7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" i="4" l="1"/>
  <c r="M20" i="4"/>
  <c r="M19" i="4"/>
  <c r="M18" i="4"/>
  <c r="M17" i="4"/>
  <c r="M16" i="4"/>
  <c r="L21" i="4"/>
  <c r="L20" i="4"/>
  <c r="L19" i="4"/>
  <c r="L18" i="4"/>
  <c r="L17" i="4"/>
  <c r="L16" i="4"/>
  <c r="P43" i="4" l="1"/>
  <c r="P44" i="4" l="1"/>
  <c r="P45" i="4" s="1"/>
  <c r="P46" i="4" s="1"/>
  <c r="M22" i="4" l="1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L108" i="5"/>
  <c r="H108" i="5"/>
  <c r="E108" i="5"/>
  <c r="C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116" i="5" l="1"/>
  <c r="L116" i="5" s="1"/>
  <c r="C167" i="5"/>
  <c r="L167" i="5" s="1"/>
  <c r="I167" i="5" s="1"/>
  <c r="J167" i="5" s="1"/>
  <c r="P4" i="5"/>
  <c r="P148" i="5"/>
  <c r="I54" i="5"/>
  <c r="J54" i="5" s="1"/>
  <c r="I83" i="5"/>
  <c r="J83" i="5" s="1"/>
  <c r="C3" i="5"/>
  <c r="L3" i="5" s="1"/>
  <c r="C8" i="5"/>
  <c r="L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P120" i="5"/>
  <c r="P158" i="5"/>
  <c r="C163" i="5"/>
  <c r="L163" i="5" s="1"/>
  <c r="I163" i="5" s="1"/>
  <c r="J163" i="5" s="1"/>
  <c r="P118" i="5"/>
  <c r="I118" i="5" s="1"/>
  <c r="J118" i="5" s="1"/>
  <c r="I292" i="5"/>
  <c r="C81" i="5"/>
  <c r="L81" i="5" s="1"/>
  <c r="I81" i="5" s="1"/>
  <c r="J81" i="5" s="1"/>
  <c r="C104" i="5"/>
  <c r="L104" i="5" s="1"/>
  <c r="C88" i="5"/>
  <c r="L88" i="5" s="1"/>
  <c r="C86" i="5"/>
  <c r="L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P96" i="5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20" i="5"/>
  <c r="J120" i="5" s="1"/>
  <c r="I145" i="5"/>
  <c r="J145" i="5" s="1"/>
  <c r="I148" i="5"/>
  <c r="J148" i="5" s="1"/>
  <c r="I149" i="5"/>
  <c r="J149" i="5" s="1"/>
  <c r="I150" i="5"/>
  <c r="J150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D17" i="4"/>
  <c r="E17" i="4"/>
  <c r="F17" i="4"/>
  <c r="G17" i="4"/>
  <c r="H20" i="4" l="1"/>
  <c r="N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N19" i="4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D18" i="4"/>
  <c r="E18" i="4"/>
  <c r="F18" i="4"/>
  <c r="G18" i="4"/>
  <c r="P23" i="4" l="1"/>
  <c r="N17" i="4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<sst xmlns="http://schemas.openxmlformats.org/spreadsheetml/2006/main" count="405" uniqueCount="366">
  <si>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</si>
  <si>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</si>
  <si>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</si>
  <si>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</si>
  <si>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</si>
  <si>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</si>
  <si>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</si>
  <si>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</si>
  <si>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</si>
  <si>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</si>
  <si>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</si>
  <si>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</si>
  <si>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</si>
  <si>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</si>
  <si>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</si>
  <si>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</si>
  <si>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</si>
  <si>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</si>
  <si>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</si>
  <si>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</si>
  <si>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</si>
  <si>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</si>
  <si>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</si>
  <si>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</si>
  <si>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</si>
  <si>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</si>
  <si>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</si>
  <si>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</si>
  <si>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</si>
  <si>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</si>
  <si>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</si>
  <si>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</si>
  <si>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</si>
  <si>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</si>
  <si>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</si>
  <si>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</si>
  <si>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</si>
  <si>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</si>
  <si>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</si>
  <si>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</si>
  <si>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</si>
  <si>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</si>
  <si>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</si>
  <si>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</si>
  <si>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</si>
  <si>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</si>
  <si>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</si>
  <si>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</si>
  <si>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</si>
  <si>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</si>
  <si>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</si>
  <si>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</si>
  <si>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</si>
  <si>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</si>
  <si>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</si>
  <si>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</si>
  <si>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</si>
  <si>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</si>
  <si>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</si>
  <si>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</si>
  <si>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</si>
  <si>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</si>
  <si>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</si>
  <si>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</si>
  <si>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</si>
  <si>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</si>
  <si>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</si>
  <si>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</si>
  <si>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</si>
  <si>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</si>
  <si>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</si>
  <si>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</si>
  <si>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</si>
  <si>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</si>
  <si>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</si>
  <si>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</si>
  <si>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</si>
  <si>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</si>
  <si>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</si>
  <si>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</si>
  <si>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</si>
  <si>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</si>
  <si>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</si>
  <si>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</si>
  <si>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</si>
  <si>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</si>
  <si>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</si>
  <si>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</si>
  <si>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</si>
  <si>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</si>
  <si>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</si>
  <si>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</si>
  <si>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</si>
  <si>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</si>
  <si>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</si>
  <si>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</si>
  <si>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</si>
  <si>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</si>
  <si>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</si>
  <si>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</si>
  <si>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</si>
  <si>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</si>
  <si>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</si>
  <si>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</si>
  <si>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</si>
  <si>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</si>
  <si>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</si>
  <si>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</si>
  <si>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</si>
  <si>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</si>
  <si>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</si>
  <si>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</si>
  <si>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</si>
  <si>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</si>
  <si>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</si>
  <si>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</si>
  <si>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</si>
  <si>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</si>
  <si>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</si>
  <si>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</si>
  <si>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</si>
  <si>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</si>
  <si>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</si>
  <si>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</si>
  <si>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</si>
  <si>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</si>
  <si>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</si>
  <si>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</si>
  <si>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</si>
  <si>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</si>
  <si>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</si>
  <si>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</si>
  <si>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</si>
  <si>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</si>
  <si>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</si>
  <si>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</si>
  <si>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</si>
  <si>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</si>
  <si>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</si>
  <si>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</si>
  <si>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</si>
  <si>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</si>
  <si>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</si>
  <si>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</si>
  <si>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</si>
  <si>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</si>
  <si>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</si>
  <si>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</si>
  <si>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</si>
  <si>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</si>
  <si>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</si>
  <si>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</si>
  <si>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</si>
  <si>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</si>
  <si>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</si>
  <si>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</si>
  <si>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</si>
  <si>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</si>
  <si>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</si>
  <si>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</si>
  <si>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</si>
  <si>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</si>
  <si>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</si>
  <si>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</si>
  <si>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</si>
  <si>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</si>
  <si>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</si>
  <si>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</si>
  <si>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</si>
  <si>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</si>
  <si>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</si>
  <si>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</si>
  <si>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</si>
  <si>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</si>
  <si>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</si>
  <si>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</si>
  <si>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</si>
  <si>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</si>
  <si>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</si>
  <si>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</si>
  <si>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</si>
  <si>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</si>
  <si>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</si>
  <si>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</si>
  <si>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</si>
  <si>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</si>
  <si>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</si>
  <si>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</si>
  <si>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</si>
  <si>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</si>
  <si>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</si>
  <si>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</si>
  <si>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</si>
  <si>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</si>
  <si>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</si>
  <si>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</si>
  <si>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</si>
  <si>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</si>
  <si>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</si>
  <si>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</si>
  <si>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</si>
  <si>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</si>
  <si>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</si>
  <si>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</si>
  <si>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</si>
  <si>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</si>
  <si>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</si>
  <si>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</si>
  <si>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</si>
  <si>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</si>
  <si>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</si>
  <si>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</si>
  <si>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</si>
  <si>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</si>
  <si>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</si>
  <si>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</si>
  <si>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</si>
  <si>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</si>
  <si>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</si>
  <si>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</si>
  <si>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</si>
  <si>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</si>
  <si>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</si>
  <si>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</si>
  <si>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</si>
  <si>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</si>
  <si>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</si>
  <si>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</si>
  <si>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</si>
  <si>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</si>
  <si>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</si>
  <si>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</si>
  <si>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</si>
  <si>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</si>
  <si>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</si>
  <si>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</si>
  <si>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</si>
  <si>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</si>
  <si>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</si>
  <si>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</si>
  <si>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</si>
  <si>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</si>
  <si>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</si>
  <si>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</si>
  <si>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</si>
  <si>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</si>
  <si>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</si>
  <si>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</si>
  <si>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</si>
  <si>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</si>
  <si>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</si>
  <si>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</si>
  <si>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</si>
  <si>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</si>
  <si>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</si>
  <si>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</si>
  <si>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</si>
  <si>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</si>
  <si>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</si>
  <si>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</si>
  <si>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</si>
  <si>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</si>
  <si>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</si>
  <si>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</si>
  <si>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</si>
  <si>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</si>
  <si>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</si>
  <si>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</si>
  <si>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</si>
  <si>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</si>
  <si>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</si>
  <si>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</si>
  <si>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</si>
  <si>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</si>
  <si>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</si>
  <si>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</si>
  <si>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</si>
  <si>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</si>
  <si>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</si>
  <si>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</si>
  <si>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</si>
  <si>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</si>
  <si>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</si>
  <si>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</si>
  <si>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</si>
  <si>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</si>
  <si>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</si>
  <si>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</si>
  <si>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</si>
  <si>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</si>
  <si>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</si>
  <si>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</si>
  <si>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</si>
  <si>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</si>
  <si>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</si>
  <si>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</si>
  <si>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</si>
  <si>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</si>
  <si>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</si>
  <si>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</si>
  <si>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</si>
  <si>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</si>
  <si>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</si>
  <si>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</si>
  <si>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</si>
  <si>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</si>
  <si>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</si>
  <si>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</si>
  <si>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</si>
  <si>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</si>
  <si>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</si>
  <si>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</si>
  <si>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</si>
  <si>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</si>
  <si>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</si>
  <si>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</si>
  <si>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</si>
  <si>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</si>
  <si>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</si>
  <si>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</si>
  <si>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</si>
  <si>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</si>
  <si>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</si>
  <si>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</si>
  <si>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</si>
  <si>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</si>
  <si>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</si>
  <si>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</si>
  <si>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</si>
  <si>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</si>
  <si>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</si>
  <si>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</si>
  <si>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</si>
  <si>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</si>
  <si>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</si>
  <si>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</si>
  <si>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</si>
  <si>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</si>
  <si>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</si>
  <si>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</si>
  <si>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</si>
  <si>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</si>
  <si>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</si>
  <si>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</si>
  <si>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</si>
  <si>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</si>
  <si>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</si>
  <si>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</si>
  <si>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</si>
  <si>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</si>
  <si>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</si>
  <si>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</si>
  <si>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</si>
  <si>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</si>
  <si>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</si>
  <si>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</si>
  <si>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</si>
  <si>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</si>
  <si>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</si>
  <si>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</si>
  <si>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</si>
  <si>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</si>
  <si>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</si>
  <si>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100 м</t>
  </si>
  <si>
    <t>O_23-1-20-1-08-03-0-0471</t>
  </si>
  <si>
    <t>Строительство ТП-10/0,4кВ мощностью 4,5 МВА, 2КЛ-10 кВ протяженностью 9,83 км по договору ТП №20-091/005-ПС-21 в г. Волхов 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</si>
</sst>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8"/>
      <color theme="1"/>
      <name val="New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8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4" fontId="8" fillId="0" borderId="3" xfId="0" applyNumberFormat="1" applyFont="1" applyFill="1" applyBorder="1" applyAlignment="1">
      <alignment horizontal="center" vertical="center"/>
    </xf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5" fillId="3" borderId="3" xfId="0" applyFont="1" applyFill="1" applyBorder="1" applyAlignment="1">
      <alignment horizontal="left" vertical="center" wrapText="1"/>
    </xf>
    <xf numFmtId="4" fontId="8" fillId="0" borderId="3" xfId="0" quotePrefix="1" applyNumberFormat="1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8;&#1077;&#1093;&#1085;&#1080;&#1095;&#1077;&#1089;&#1082;&#1080;&#1081;%20&#1076;&#1080;&#1088;&#1077;&#1082;&#1090;&#1086;&#1088;\&#1054;&#1050;&#1057;\&#1047;&#1072;&#1082;&#1091;&#1087;&#1086;&#1095;&#1085;&#1072;&#1103;%20&#1076;&#1086;&#1082;&#1091;&#1084;&#1077;&#1085;&#1090;&#1072;&#1094;&#1080;&#1103;\&#1056;&#1040;&#1052;&#1050;&#1048;%202023\&#1053;&#1057;\&#1042;&#1086;&#1089;&#1090;&#1086;&#1095;&#1085;&#1099;&#1077;%20&#1101;&#1083;.%20&#1089;&#1077;&#1090;&#1080;\&#1053;&#1086;&#1074;&#1099;&#1077;%20&#1079;&#1072;&#1103;&#1074;&#1082;&#1080;\&#1040;&#1087;&#1072;&#1090;&#1080;&#1090;%20&#1089;%20&#1082;&#1086;&#1088;&#1088;.%20&#1058;&#1059;\&#1056;&#1072;&#1089;&#1095;&#1077;&#1090;%20&#1089;&#1090;&#1086;&#1080;&#1084;&#1086;&#1089;&#1090;&#1080;%20&#1040;&#1087;&#1072;&#1090;&#1080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повые 4 кв. 202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topLeftCell="A4" zoomScale="85" zoomScaleNormal="85" zoomScaleSheetLayoutView="85" workbookViewId="0">
      <selection activeCell="B32" sqref="B32:O32"/>
    </sheetView>
  </sheetViews>
  <sheetFormatPr defaultRowHeight="15"/>
  <cols>
    <col min="1" max="1" width="6.7109375" style="4" customWidth="1"/>
    <col min="2" max="2" width="33.28515625" style="2" customWidth="1"/>
    <col min="3" max="3" width="12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2" width="13.42578125" style="2" customWidth="1"/>
    <col min="13" max="13" width="10.5703125" style="2" customWidth="1"/>
    <col min="14" max="14" width="14.7109375" style="2" customWidth="1"/>
    <col min="15" max="15" width="14.1406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>
      <c r="M1" s="13"/>
      <c r="P1" s="13"/>
    </row>
    <row r="2" spans="1:22" ht="9" customHeight="1"/>
    <row r="3" spans="1:22">
      <c r="A3" s="1" t="s">
        <v>331</v>
      </c>
    </row>
    <row r="4" spans="1:22" ht="10.5" customHeight="1"/>
    <row r="5" spans="1:22" ht="30" customHeight="1">
      <c r="A5" s="190" t="s">
        <v>365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</row>
    <row r="6" spans="1:22" ht="10.5" customHeight="1"/>
    <row r="7" spans="1:22" ht="13.5" customHeight="1">
      <c r="A7" s="6" t="s">
        <v>5</v>
      </c>
      <c r="H7" s="207" t="s">
        <v>364</v>
      </c>
      <c r="I7" s="207"/>
      <c r="J7" s="207"/>
      <c r="K7" s="207"/>
      <c r="L7" s="207"/>
      <c r="M7" s="207"/>
      <c r="N7" s="207"/>
      <c r="O7" s="207"/>
      <c r="P7" s="207"/>
    </row>
    <row r="8" spans="1:22" ht="10.5" customHeight="1">
      <c r="A8" s="6"/>
      <c r="H8" s="31"/>
      <c r="I8" s="31"/>
      <c r="J8" s="31"/>
      <c r="K8" s="31"/>
      <c r="M8" s="27"/>
    </row>
    <row r="9" spans="1:22">
      <c r="A9" s="6" t="s">
        <v>8</v>
      </c>
      <c r="H9" s="192" t="s">
        <v>76</v>
      </c>
      <c r="I9" s="192"/>
      <c r="J9" s="192"/>
      <c r="K9" s="192"/>
      <c r="L9" s="26"/>
      <c r="M9" s="27"/>
    </row>
    <row r="10" spans="1:22" ht="9" customHeight="1">
      <c r="A10" s="7"/>
      <c r="K10" s="26"/>
      <c r="L10" s="26"/>
      <c r="M10" s="26"/>
    </row>
    <row r="11" spans="1:22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>
      <c r="K12" s="26"/>
      <c r="L12" s="26"/>
      <c r="M12" s="26"/>
      <c r="P12" s="150" t="s">
        <v>354</v>
      </c>
    </row>
    <row r="13" spans="1:22" s="4" customFormat="1" ht="39" customHeight="1">
      <c r="A13" s="172" t="s">
        <v>6</v>
      </c>
      <c r="B13" s="172" t="s">
        <v>9</v>
      </c>
      <c r="C13" s="172" t="s">
        <v>334</v>
      </c>
      <c r="D13" s="172" t="s">
        <v>349</v>
      </c>
      <c r="E13" s="172"/>
      <c r="F13" s="172"/>
      <c r="G13" s="172"/>
      <c r="H13" s="172" t="s">
        <v>335</v>
      </c>
      <c r="I13" s="172" t="s">
        <v>348</v>
      </c>
      <c r="J13" s="172" t="s">
        <v>7</v>
      </c>
      <c r="K13" s="170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9" t="s">
        <v>337</v>
      </c>
      <c r="Q13" s="24"/>
    </row>
    <row r="14" spans="1:22" ht="38.25" customHeight="1">
      <c r="A14" s="172"/>
      <c r="B14" s="172"/>
      <c r="C14" s="172"/>
      <c r="D14" s="136" t="s">
        <v>89</v>
      </c>
      <c r="E14" s="136" t="s">
        <v>91</v>
      </c>
      <c r="F14" s="136" t="s">
        <v>93</v>
      </c>
      <c r="G14" s="136" t="s">
        <v>318</v>
      </c>
      <c r="H14" s="172"/>
      <c r="I14" s="172"/>
      <c r="J14" s="172"/>
      <c r="K14" s="170"/>
      <c r="L14" s="136" t="s">
        <v>1</v>
      </c>
      <c r="M14" s="136" t="s">
        <v>317</v>
      </c>
      <c r="N14" s="136" t="s">
        <v>2</v>
      </c>
      <c r="O14" s="136" t="s">
        <v>3</v>
      </c>
      <c r="P14" s="189"/>
      <c r="Q14" s="138"/>
      <c r="R14" s="138"/>
      <c r="S14" s="138"/>
      <c r="T14" s="138"/>
      <c r="U14" s="21"/>
      <c r="V14" s="16"/>
    </row>
    <row r="15" spans="1:22">
      <c r="A15" s="141" t="s">
        <v>10</v>
      </c>
      <c r="B15" s="9" t="s">
        <v>11</v>
      </c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39"/>
      <c r="R15" s="139"/>
      <c r="S15" s="139"/>
      <c r="T15" s="139"/>
      <c r="U15" s="39"/>
      <c r="V15" s="17"/>
    </row>
    <row r="16" spans="1:22" ht="24" customHeight="1">
      <c r="A16" s="10"/>
      <c r="B16" s="165" t="s">
        <v>125</v>
      </c>
      <c r="C16" s="37">
        <f>VLOOKUP($B$16:$B$29,'Наименование работ'!B:G,6,)</f>
        <v>4497085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10.17</v>
      </c>
      <c r="F16" s="37">
        <f>VLOOKUP($B$16:$B$29,'Наименование работ'!B:O,14,)</f>
        <v>7.86</v>
      </c>
      <c r="G16" s="37">
        <f>VLOOKUP($B$16:$B$29,'Наименование работ'!B:Q,16,)</f>
        <v>6.33</v>
      </c>
      <c r="H16" s="36">
        <f>VLOOKUP(B16:B29,'Наименование работ'!B:S,18,)</f>
        <v>13901038.9716</v>
      </c>
      <c r="I16" s="36">
        <f>VLOOKUP($B$16:$B$29,'Наименование работ'!B:R,17,)</f>
        <v>23324146.442399997</v>
      </c>
      <c r="J16" s="38" t="s">
        <v>362</v>
      </c>
      <c r="K16" s="156">
        <v>1</v>
      </c>
      <c r="L16" s="33">
        <f>(N16+O16)*0.08</f>
        <v>2978014.8331199996</v>
      </c>
      <c r="M16" s="33">
        <f>122750*K16</f>
        <v>122750</v>
      </c>
      <c r="N16" s="34">
        <f>K16*H16</f>
        <v>13901038.9716</v>
      </c>
      <c r="O16" s="34">
        <f>K16*I16</f>
        <v>23324146.442399997</v>
      </c>
      <c r="P16" s="34">
        <f t="shared" ref="P16" si="0">SUM(L16:O16)</f>
        <v>40325950.247119993</v>
      </c>
      <c r="Q16" s="25"/>
      <c r="R16" s="25"/>
      <c r="S16" s="25"/>
      <c r="T16" s="25"/>
      <c r="U16" s="20"/>
      <c r="V16" s="17"/>
    </row>
    <row r="17" spans="1:22" ht="24" customHeight="1">
      <c r="A17" s="10"/>
      <c r="B17" s="165" t="s">
        <v>194</v>
      </c>
      <c r="C17" s="37">
        <f>VLOOKUP($B$16:$B$29,'Наименование работ'!B:G,6,)</f>
        <v>1503216.99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8.27</v>
      </c>
      <c r="F17" s="37">
        <f>VLOOKUP($B$16:$B$29,'Наименование работ'!B:O,14,)</f>
        <v>3.76</v>
      </c>
      <c r="G17" s="37">
        <f>VLOOKUP($B$16:$B$29,'Наименование работ'!B:Q,16,)</f>
        <v>0</v>
      </c>
      <c r="H17" s="36">
        <f>VLOOKUP(B17:B30,'Наименование работ'!B:S,18,)</f>
        <v>8914644.3518000003</v>
      </c>
      <c r="I17" s="36">
        <f>VLOOKUP($B$16:$B$29,'Наименование работ'!B:R,17,)</f>
        <v>0</v>
      </c>
      <c r="J17" s="38" t="s">
        <v>352</v>
      </c>
      <c r="K17" s="156">
        <v>3.8</v>
      </c>
      <c r="L17" s="33">
        <f t="shared" ref="L17:L21" si="1">(N17+O17)*0.08</f>
        <v>2710051.8829472</v>
      </c>
      <c r="M17" s="33">
        <f t="shared" ref="M17:M21" si="2">122750*K17</f>
        <v>466450</v>
      </c>
      <c r="N17" s="34">
        <f t="shared" ref="N17:N29" si="3">K17*H17</f>
        <v>33875648.536839999</v>
      </c>
      <c r="O17" s="34">
        <f t="shared" ref="O17:O29" si="4">K17*I17</f>
        <v>0</v>
      </c>
      <c r="P17" s="34">
        <f t="shared" ref="P17" si="5">SUM(L17:O17)</f>
        <v>37052150.419787198</v>
      </c>
      <c r="Q17" s="25"/>
      <c r="R17" s="25"/>
      <c r="S17" s="25"/>
      <c r="T17" s="25"/>
      <c r="U17" s="20"/>
      <c r="V17" s="17"/>
    </row>
    <row r="18" spans="1:22" ht="24" customHeight="1">
      <c r="A18" s="10"/>
      <c r="B18" s="165" t="s">
        <v>213</v>
      </c>
      <c r="C18" s="37">
        <f>VLOOKUP($B$16:$B$29,'Наименование работ'!B:G,6,)</f>
        <v>2583983.4900000002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8.27</v>
      </c>
      <c r="F18" s="37">
        <f>VLOOKUP($B$16:$B$29,'Наименование работ'!B:O,14,)</f>
        <v>3.76</v>
      </c>
      <c r="G18" s="37">
        <f>VLOOKUP($B$16:$B$29,'Наименование работ'!B:Q,16,)</f>
        <v>0</v>
      </c>
      <c r="H18" s="36">
        <f>VLOOKUP(B18:B31,'Наименование работ'!B:S,18,)</f>
        <v>19051108.187100001</v>
      </c>
      <c r="I18" s="36">
        <f>VLOOKUP($B$16:$B$29,'Наименование работ'!B:R,17,)</f>
        <v>0</v>
      </c>
      <c r="J18" s="38" t="s">
        <v>352</v>
      </c>
      <c r="K18" s="156">
        <v>0.6</v>
      </c>
      <c r="L18" s="33">
        <f t="shared" si="1"/>
        <v>914453.19298079994</v>
      </c>
      <c r="M18" s="33">
        <f t="shared" si="2"/>
        <v>73650</v>
      </c>
      <c r="N18" s="34">
        <f t="shared" si="3"/>
        <v>11430664.91226</v>
      </c>
      <c r="O18" s="34">
        <f t="shared" si="4"/>
        <v>0</v>
      </c>
      <c r="P18" s="34">
        <f t="shared" ref="P18" si="6">SUM(L18:O18)</f>
        <v>12418768.105240799</v>
      </c>
      <c r="Q18" s="25"/>
      <c r="R18" s="25"/>
      <c r="S18" s="25"/>
      <c r="T18" s="25"/>
      <c r="U18" s="20"/>
      <c r="V18" s="17"/>
    </row>
    <row r="19" spans="1:22" ht="24" customHeight="1">
      <c r="A19" s="10"/>
      <c r="B19" s="165" t="s">
        <v>112</v>
      </c>
      <c r="C19" s="37">
        <f>VLOOKUP($B$16:$B$29,'Наименование работ'!B:G,6,)</f>
        <v>970917.56</v>
      </c>
      <c r="D19" s="37">
        <f>VLOOKUP($B$16:$B$29,'Наименование работ'!B:K,10,)</f>
        <v>19.489999999999998</v>
      </c>
      <c r="E19" s="37">
        <f>VLOOKUP($B$16:$B$29,'Наименование работ'!B:M,12,)</f>
        <v>10.17</v>
      </c>
      <c r="F19" s="37">
        <f>VLOOKUP($B$16:$B$29,'Наименование работ'!B:O,14,)</f>
        <v>7.86</v>
      </c>
      <c r="G19" s="37">
        <f>VLOOKUP($B$16:$B$29,'Наименование работ'!B:Q,16,)</f>
        <v>6.33</v>
      </c>
      <c r="H19" s="36">
        <f>VLOOKUP(B19:B32,'Наименование работ'!B:S,18,)</f>
        <v>2570893.5368000008</v>
      </c>
      <c r="I19" s="36">
        <f>VLOOKUP($B$16:$B$29,'Наименование работ'!B:R,17,)</f>
        <v>5237045.1090000002</v>
      </c>
      <c r="J19" s="38" t="s">
        <v>362</v>
      </c>
      <c r="K19" s="156">
        <v>2</v>
      </c>
      <c r="L19" s="33">
        <f t="shared" si="1"/>
        <v>1249270.1833280001</v>
      </c>
      <c r="M19" s="33">
        <f t="shared" si="2"/>
        <v>245500</v>
      </c>
      <c r="N19" s="34">
        <f t="shared" si="3"/>
        <v>5141787.0736000016</v>
      </c>
      <c r="O19" s="34">
        <f t="shared" si="4"/>
        <v>10474090.218</v>
      </c>
      <c r="P19" s="34">
        <f t="shared" ref="P19:P23" si="7">SUM(L19:O19)</f>
        <v>17110647.474928003</v>
      </c>
      <c r="Q19" s="25"/>
      <c r="R19" s="25"/>
      <c r="S19" s="25"/>
      <c r="T19" s="25"/>
      <c r="U19" s="20"/>
      <c r="V19" s="17"/>
    </row>
    <row r="20" spans="1:22" ht="24" customHeight="1">
      <c r="A20" s="10"/>
      <c r="B20" s="165" t="s">
        <v>255</v>
      </c>
      <c r="C20" s="37">
        <f>VLOOKUP($B$16:$B$29,'Наименование работ'!B:G,6,)</f>
        <v>306047.03999999998</v>
      </c>
      <c r="D20" s="37">
        <f>VLOOKUP($B$16:$B$29,'Наименование работ'!B:K,10,)</f>
        <v>19.489999999999998</v>
      </c>
      <c r="E20" s="37">
        <f>VLOOKUP($B$16:$B$29,'Наименование работ'!B:M,12,)</f>
        <v>8.27</v>
      </c>
      <c r="F20" s="37">
        <f>VLOOKUP($B$16:$B$29,'Наименование работ'!B:O,14,)</f>
        <v>3.76</v>
      </c>
      <c r="G20" s="37">
        <f>VLOOKUP($B$16:$B$29,'Наименование работ'!B:Q,16,)</f>
        <v>0</v>
      </c>
      <c r="H20" s="36">
        <f>VLOOKUP(B20:B33,'Наименование работ'!B:S,18,)</f>
        <v>2011978.3580999994</v>
      </c>
      <c r="I20" s="36">
        <f>VLOOKUP($B$16:$B$29,'Наименование работ'!B:R,17,)</f>
        <v>0</v>
      </c>
      <c r="J20" s="38" t="s">
        <v>363</v>
      </c>
      <c r="K20" s="156">
        <v>0.35</v>
      </c>
      <c r="L20" s="33">
        <f t="shared" si="1"/>
        <v>56335.394026799979</v>
      </c>
      <c r="M20" s="33">
        <f t="shared" si="2"/>
        <v>42962.5</v>
      </c>
      <c r="N20" s="34">
        <f t="shared" si="3"/>
        <v>704192.42533499969</v>
      </c>
      <c r="O20" s="34">
        <f t="shared" si="4"/>
        <v>0</v>
      </c>
      <c r="P20" s="34">
        <f t="shared" si="7"/>
        <v>803490.31936179963</v>
      </c>
      <c r="Q20" s="25"/>
      <c r="R20" s="25"/>
      <c r="S20" s="25"/>
      <c r="T20" s="25"/>
      <c r="U20" s="20"/>
      <c r="V20" s="17"/>
    </row>
    <row r="21" spans="1:22" ht="24" hidden="1" customHeight="1">
      <c r="A21" s="10"/>
      <c r="B21" s="164" t="s">
        <v>266</v>
      </c>
      <c r="C21" s="37">
        <f>VLOOKUP($B$16:$B$29,'Наименование работ'!B:G,6,)</f>
        <v>2839519.67</v>
      </c>
      <c r="D21" s="37">
        <f>VLOOKUP($B$16:$B$29,'Наименование работ'!B:K,10,)</f>
        <v>19.489999999999998</v>
      </c>
      <c r="E21" s="37">
        <f>VLOOKUP($B$16:$B$29,'Наименование работ'!B:M,12,)</f>
        <v>8.27</v>
      </c>
      <c r="F21" s="37">
        <f>VLOOKUP($B$16:$B$29,'Наименование работ'!B:O,14,)</f>
        <v>3.76</v>
      </c>
      <c r="G21" s="37">
        <f>VLOOKUP($B$16:$B$29,'Наименование работ'!B:Q,16,)</f>
        <v>0</v>
      </c>
      <c r="H21" s="36">
        <f>VLOOKUP(B21:B34,'Наименование работ'!B:S,18,)</f>
        <v>17708115.483700003</v>
      </c>
      <c r="I21" s="36">
        <f>VLOOKUP($B$16:$B$29,'Наименование работ'!B:R,17,)</f>
        <v>0</v>
      </c>
      <c r="J21" s="38" t="s">
        <v>352</v>
      </c>
      <c r="K21" s="156">
        <v>0.47</v>
      </c>
      <c r="L21" s="33">
        <f t="shared" si="1"/>
        <v>665825.14218712016</v>
      </c>
      <c r="M21" s="33">
        <f t="shared" si="2"/>
        <v>57692.5</v>
      </c>
      <c r="N21" s="34">
        <f t="shared" si="3"/>
        <v>8322814.2773390012</v>
      </c>
      <c r="O21" s="34">
        <f t="shared" si="4"/>
        <v>0</v>
      </c>
      <c r="P21" s="34">
        <f t="shared" si="7"/>
        <v>9046331.9195261206</v>
      </c>
      <c r="Q21" s="25"/>
      <c r="R21" s="25"/>
      <c r="S21" s="25"/>
      <c r="T21" s="25"/>
      <c r="U21" s="20"/>
      <c r="V21" s="17"/>
    </row>
    <row r="22" spans="1:22" ht="28.5" hidden="1" customHeight="1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352</v>
      </c>
      <c r="K22" s="149">
        <v>0</v>
      </c>
      <c r="L22" s="33">
        <f t="shared" ref="L22:L29" si="8">(N22+O22)*0.08</f>
        <v>0</v>
      </c>
      <c r="M22" s="33">
        <f t="shared" ref="M22:M29" si="9">147300*K22</f>
        <v>0</v>
      </c>
      <c r="N22" s="34">
        <f t="shared" si="3"/>
        <v>0</v>
      </c>
      <c r="O22" s="34">
        <f t="shared" si="4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352</v>
      </c>
      <c r="K23" s="140">
        <v>0</v>
      </c>
      <c r="L23" s="33">
        <f t="shared" si="8"/>
        <v>0</v>
      </c>
      <c r="M23" s="33">
        <f t="shared" si="9"/>
        <v>0</v>
      </c>
      <c r="N23" s="34">
        <f t="shared" si="3"/>
        <v>0</v>
      </c>
      <c r="O23" s="34">
        <f t="shared" si="4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8"/>
        <v>0</v>
      </c>
      <c r="M24" s="33">
        <f t="shared" si="9"/>
        <v>0</v>
      </c>
      <c r="N24" s="34">
        <f t="shared" ref="N24:N28" si="10">K24*H24</f>
        <v>0</v>
      </c>
      <c r="O24" s="34">
        <f t="shared" si="4"/>
        <v>0</v>
      </c>
      <c r="P24" s="34">
        <f t="shared" ref="P24:P28" si="11">SUM(L24:O24)</f>
        <v>0</v>
      </c>
      <c r="Q24" s="25"/>
      <c r="R24" s="25"/>
      <c r="S24" s="25"/>
      <c r="T24" s="25"/>
      <c r="U24" s="20"/>
      <c r="V24" s="17"/>
    </row>
    <row r="25" spans="1:22" ht="24" hidden="1" customHeight="1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8"/>
        <v>0</v>
      </c>
      <c r="M25" s="33">
        <f t="shared" si="9"/>
        <v>0</v>
      </c>
      <c r="N25" s="34">
        <f t="shared" si="10"/>
        <v>0</v>
      </c>
      <c r="O25" s="34">
        <f t="shared" si="4"/>
        <v>0</v>
      </c>
      <c r="P25" s="34">
        <f t="shared" si="11"/>
        <v>0</v>
      </c>
      <c r="Q25" s="25"/>
      <c r="R25" s="25"/>
      <c r="S25" s="25"/>
      <c r="T25" s="25"/>
      <c r="U25" s="20"/>
      <c r="V25" s="17"/>
    </row>
    <row r="26" spans="1:22" ht="24" hidden="1" customHeight="1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8"/>
        <v>0</v>
      </c>
      <c r="M26" s="33">
        <f t="shared" si="9"/>
        <v>0</v>
      </c>
      <c r="N26" s="34">
        <f t="shared" si="10"/>
        <v>0</v>
      </c>
      <c r="O26" s="34">
        <f t="shared" si="4"/>
        <v>0</v>
      </c>
      <c r="P26" s="34">
        <f t="shared" si="11"/>
        <v>0</v>
      </c>
      <c r="Q26" s="25"/>
      <c r="R26" s="25"/>
      <c r="S26" s="25"/>
      <c r="T26" s="25"/>
      <c r="U26" s="20"/>
      <c r="V26" s="17"/>
    </row>
    <row r="27" spans="1:22" ht="24" hidden="1" customHeight="1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8"/>
        <v>0</v>
      </c>
      <c r="M27" s="33">
        <f t="shared" si="9"/>
        <v>0</v>
      </c>
      <c r="N27" s="34">
        <f t="shared" si="10"/>
        <v>0</v>
      </c>
      <c r="O27" s="34">
        <f t="shared" si="4"/>
        <v>0</v>
      </c>
      <c r="P27" s="34">
        <f t="shared" si="11"/>
        <v>0</v>
      </c>
      <c r="Q27" s="25"/>
      <c r="R27" s="25"/>
      <c r="S27" s="25"/>
      <c r="T27" s="25"/>
      <c r="U27" s="20"/>
      <c r="V27" s="17"/>
    </row>
    <row r="28" spans="1:22" ht="24" hidden="1" customHeight="1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8"/>
        <v>0</v>
      </c>
      <c r="M28" s="33">
        <f t="shared" si="9"/>
        <v>0</v>
      </c>
      <c r="N28" s="34">
        <f t="shared" si="10"/>
        <v>0</v>
      </c>
      <c r="O28" s="34">
        <f t="shared" si="4"/>
        <v>0</v>
      </c>
      <c r="P28" s="34">
        <f t="shared" si="11"/>
        <v>0</v>
      </c>
      <c r="Q28" s="25"/>
      <c r="R28" s="25"/>
      <c r="S28" s="25"/>
      <c r="T28" s="25"/>
      <c r="U28" s="20"/>
      <c r="V28" s="17"/>
    </row>
    <row r="29" spans="1:22" ht="24" hidden="1" customHeight="1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8"/>
        <v>0</v>
      </c>
      <c r="M29" s="33">
        <f t="shared" si="9"/>
        <v>0</v>
      </c>
      <c r="N29" s="34">
        <f t="shared" si="3"/>
        <v>0</v>
      </c>
      <c r="O29" s="34">
        <f t="shared" si="4"/>
        <v>0</v>
      </c>
      <c r="P29" s="34">
        <f t="shared" ref="P29" si="12">SUM(L29:O29)</f>
        <v>0</v>
      </c>
      <c r="Q29" s="22"/>
      <c r="S29" s="18"/>
      <c r="T29" s="19"/>
      <c r="U29" s="20"/>
      <c r="V29" s="17"/>
    </row>
    <row r="30" spans="1:22" ht="16.5" customHeight="1">
      <c r="A30" s="141"/>
      <c r="B30" s="186" t="s">
        <v>317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8"/>
      <c r="P30" s="34">
        <f>SUM(M16:M29)</f>
        <v>1009005</v>
      </c>
    </row>
    <row r="31" spans="1:22" ht="16.5" customHeight="1">
      <c r="A31" s="141"/>
      <c r="B31" s="186" t="s">
        <v>2</v>
      </c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8"/>
      <c r="P31" s="35">
        <f>SUM(N16:N29)</f>
        <v>73376146.196973994</v>
      </c>
    </row>
    <row r="32" spans="1:22" ht="16.5" customHeight="1">
      <c r="A32" s="141"/>
      <c r="B32" s="186" t="s">
        <v>3</v>
      </c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  <c r="O32" s="188"/>
      <c r="P32" s="35">
        <f>SUM(O16:O29)</f>
        <v>33798236.660399996</v>
      </c>
    </row>
    <row r="33" spans="1:21" ht="16.5" customHeight="1">
      <c r="A33" s="141"/>
      <c r="B33" s="186" t="s">
        <v>346</v>
      </c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8"/>
      <c r="P33" s="35">
        <f>SUM(L16:L29)</f>
        <v>8573950.6285899188</v>
      </c>
      <c r="Q33" s="32"/>
      <c r="R33" s="32"/>
    </row>
    <row r="34" spans="1:21" ht="16.5" customHeight="1">
      <c r="A34" s="141"/>
      <c r="B34" s="167" t="s">
        <v>12</v>
      </c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9"/>
      <c r="P34" s="34">
        <f>SUM(P30:P33)</f>
        <v>116757338.4859639</v>
      </c>
    </row>
    <row r="35" spans="1:21" ht="7.5" customHeight="1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>
      <c r="A38" s="136" t="s">
        <v>6</v>
      </c>
      <c r="B38" s="172" t="s">
        <v>0</v>
      </c>
      <c r="C38" s="172"/>
      <c r="D38" s="172"/>
      <c r="E38" s="172"/>
      <c r="F38" s="174" t="s">
        <v>337</v>
      </c>
      <c r="G38" s="174"/>
      <c r="H38" s="175"/>
      <c r="I38" s="180" t="s">
        <v>353</v>
      </c>
      <c r="J38" s="181"/>
      <c r="K38" s="170" t="s">
        <v>338</v>
      </c>
      <c r="L38" s="170"/>
      <c r="M38" s="170" t="s">
        <v>339</v>
      </c>
      <c r="N38" s="170"/>
      <c r="O38" s="153"/>
      <c r="P38" s="153"/>
      <c r="Q38" s="145"/>
      <c r="R38" s="145"/>
      <c r="S38" s="22"/>
      <c r="T38" s="22"/>
      <c r="U38" s="22"/>
    </row>
    <row r="39" spans="1:21" ht="16.5" customHeight="1">
      <c r="A39" s="23">
        <v>1</v>
      </c>
      <c r="B39" s="173" t="s">
        <v>319</v>
      </c>
      <c r="C39" s="173"/>
      <c r="D39" s="173"/>
      <c r="E39" s="173"/>
      <c r="F39" s="176">
        <f>P33+P30</f>
        <v>9582955.6285899188</v>
      </c>
      <c r="G39" s="176"/>
      <c r="H39" s="177"/>
      <c r="I39" s="182">
        <v>1.0529999999999999</v>
      </c>
      <c r="J39" s="183"/>
      <c r="K39" s="171">
        <f>F39*$I$39</f>
        <v>10090852.276905185</v>
      </c>
      <c r="L39" s="171"/>
      <c r="M39" s="171">
        <f>K39*1.2</f>
        <v>12109022.73228622</v>
      </c>
      <c r="N39" s="171"/>
      <c r="O39" s="157" t="s">
        <v>74</v>
      </c>
      <c r="P39" s="158">
        <v>1.147</v>
      </c>
      <c r="Q39" s="146"/>
      <c r="R39" s="146"/>
      <c r="S39" s="22"/>
      <c r="T39" s="22"/>
      <c r="U39" s="22"/>
    </row>
    <row r="40" spans="1:21" ht="16.5" customHeight="1">
      <c r="A40" s="23">
        <v>2</v>
      </c>
      <c r="B40" s="173" t="s">
        <v>2</v>
      </c>
      <c r="C40" s="173"/>
      <c r="D40" s="173"/>
      <c r="E40" s="173"/>
      <c r="F40" s="178">
        <f>P31</f>
        <v>73376146.196973994</v>
      </c>
      <c r="G40" s="178"/>
      <c r="H40" s="179"/>
      <c r="I40" s="184"/>
      <c r="J40" s="185"/>
      <c r="K40" s="171">
        <f t="shared" ref="K40:K41" si="13">F40*$I$39</f>
        <v>77265081.945413604</v>
      </c>
      <c r="L40" s="171"/>
      <c r="M40" s="171">
        <f>K40*1.2</f>
        <v>92718098.334496319</v>
      </c>
      <c r="N40" s="171"/>
      <c r="O40" s="157" t="s">
        <v>75</v>
      </c>
      <c r="P40" s="158">
        <v>1.06968874824043</v>
      </c>
      <c r="Q40" s="146"/>
      <c r="R40" s="146"/>
      <c r="S40" s="22"/>
      <c r="T40" s="22"/>
      <c r="U40" s="22"/>
    </row>
    <row r="41" spans="1:21" ht="16.5" customHeight="1">
      <c r="A41" s="23">
        <v>3</v>
      </c>
      <c r="B41" s="173" t="s">
        <v>3</v>
      </c>
      <c r="C41" s="173"/>
      <c r="D41" s="173"/>
      <c r="E41" s="173"/>
      <c r="F41" s="178">
        <f>P32</f>
        <v>33798236.660399996</v>
      </c>
      <c r="G41" s="178"/>
      <c r="H41" s="179"/>
      <c r="I41" s="184"/>
      <c r="J41" s="185"/>
      <c r="K41" s="171">
        <f t="shared" si="13"/>
        <v>35589543.203401193</v>
      </c>
      <c r="L41" s="171"/>
      <c r="M41" s="193">
        <f t="shared" ref="M41" si="14">K41*1.2</f>
        <v>42707451.844081432</v>
      </c>
      <c r="N41" s="193"/>
      <c r="O41" s="157" t="s">
        <v>76</v>
      </c>
      <c r="P41" s="158">
        <v>1.0527260918901</v>
      </c>
      <c r="Q41" s="146"/>
      <c r="R41" s="146"/>
      <c r="S41" s="22"/>
      <c r="T41" s="22"/>
      <c r="U41" s="22"/>
    </row>
    <row r="42" spans="1:21" ht="16.5" customHeight="1">
      <c r="A42" s="23">
        <v>4</v>
      </c>
      <c r="B42" s="173" t="s">
        <v>4</v>
      </c>
      <c r="C42" s="173"/>
      <c r="D42" s="173"/>
      <c r="E42" s="173"/>
      <c r="F42" s="178"/>
      <c r="G42" s="178"/>
      <c r="H42" s="179"/>
      <c r="I42" s="184"/>
      <c r="J42" s="185"/>
      <c r="K42" s="198">
        <f>SUM(F43:H45)*$I$39</f>
        <v>25253001.06324289</v>
      </c>
      <c r="L42" s="199"/>
      <c r="M42" s="198">
        <f>K42*1.2</f>
        <v>30303601.275891468</v>
      </c>
      <c r="N42" s="199"/>
      <c r="O42" s="157" t="s">
        <v>77</v>
      </c>
      <c r="P42" s="158">
        <v>1.04761984318213</v>
      </c>
      <c r="Q42" s="155"/>
      <c r="R42" s="146"/>
      <c r="S42" s="22"/>
      <c r="T42" s="22"/>
      <c r="U42" s="22"/>
    </row>
    <row r="43" spans="1:21" ht="15.75" customHeight="1">
      <c r="A43" s="137" t="s">
        <v>78</v>
      </c>
      <c r="B43" s="204" t="s">
        <v>355</v>
      </c>
      <c r="C43" s="204"/>
      <c r="D43" s="204"/>
      <c r="E43" s="204"/>
      <c r="F43" s="202">
        <f>SUM(F39:H41)/100*P49</f>
        <v>2498607.0435996279</v>
      </c>
      <c r="G43" s="202"/>
      <c r="H43" s="203"/>
      <c r="I43" s="184"/>
      <c r="J43" s="185"/>
      <c r="K43" s="200"/>
      <c r="L43" s="201"/>
      <c r="M43" s="200"/>
      <c r="N43" s="201"/>
      <c r="O43" s="159" t="s">
        <v>358</v>
      </c>
      <c r="P43" s="158">
        <f>1.0457995653007*P42</f>
        <v>1.0956003766002589</v>
      </c>
      <c r="Q43" s="155"/>
      <c r="R43" s="151"/>
      <c r="S43" s="22"/>
      <c r="T43" s="22"/>
      <c r="U43" s="22"/>
    </row>
    <row r="44" spans="1:21" ht="15.75" customHeight="1">
      <c r="A44" s="137" t="s">
        <v>79</v>
      </c>
      <c r="B44" s="204" t="s">
        <v>357</v>
      </c>
      <c r="C44" s="204"/>
      <c r="D44" s="204"/>
      <c r="E44" s="204"/>
      <c r="F44" s="202">
        <f>SUM(F39:H41)/100*P50</f>
        <v>13660608.602857778</v>
      </c>
      <c r="G44" s="202"/>
      <c r="H44" s="203"/>
      <c r="I44" s="184"/>
      <c r="J44" s="185"/>
      <c r="K44" s="200"/>
      <c r="L44" s="201"/>
      <c r="M44" s="200"/>
      <c r="N44" s="201"/>
      <c r="O44" s="159" t="s">
        <v>359</v>
      </c>
      <c r="P44" s="158">
        <f>1.0457995653007*P43</f>
        <v>1.1457783975918339</v>
      </c>
      <c r="Q44" s="155"/>
      <c r="R44" s="151"/>
      <c r="S44" s="22"/>
      <c r="T44" s="22"/>
      <c r="U44" s="22"/>
    </row>
    <row r="45" spans="1:21" ht="15.75" customHeight="1">
      <c r="A45" s="137" t="s">
        <v>80</v>
      </c>
      <c r="B45" s="205" t="s">
        <v>356</v>
      </c>
      <c r="C45" s="205"/>
      <c r="D45" s="205"/>
      <c r="E45" s="205"/>
      <c r="F45" s="202">
        <f>SUM(F39:H41)/100*P51</f>
        <v>7822741.6785595827</v>
      </c>
      <c r="G45" s="202"/>
      <c r="H45" s="203"/>
      <c r="I45" s="184"/>
      <c r="J45" s="185"/>
      <c r="K45" s="200"/>
      <c r="L45" s="201"/>
      <c r="M45" s="200"/>
      <c r="N45" s="201"/>
      <c r="O45" s="159" t="s">
        <v>360</v>
      </c>
      <c r="P45" s="158">
        <f>1.0457995653007*P44</f>
        <v>1.1982545501324724</v>
      </c>
      <c r="Q45" s="155"/>
      <c r="R45" s="151"/>
      <c r="S45" s="22"/>
      <c r="T45" s="22"/>
      <c r="U45" s="22"/>
    </row>
    <row r="46" spans="1:21" ht="14.25" customHeight="1">
      <c r="A46" s="206" t="s">
        <v>81</v>
      </c>
      <c r="B46" s="206"/>
      <c r="C46" s="206"/>
      <c r="D46" s="206"/>
      <c r="E46" s="206"/>
      <c r="F46" s="197">
        <f>SUM(F39:H45)</f>
        <v>140739295.81098092</v>
      </c>
      <c r="G46" s="197"/>
      <c r="H46" s="197"/>
      <c r="I46" s="197"/>
      <c r="J46" s="197"/>
      <c r="K46" s="196">
        <f>SUM(K39:L45)</f>
        <v>148198478.48896286</v>
      </c>
      <c r="L46" s="196"/>
      <c r="M46" s="196">
        <f>SUM(M39:N45)</f>
        <v>177838174.18675542</v>
      </c>
      <c r="N46" s="196"/>
      <c r="O46" s="159" t="s">
        <v>361</v>
      </c>
      <c r="P46" s="158">
        <f>1.0457995653007*P45</f>
        <v>1.2531340876481254</v>
      </c>
      <c r="Q46" s="155"/>
      <c r="R46" s="152"/>
      <c r="S46" s="46"/>
      <c r="T46" s="47"/>
      <c r="U46" s="22"/>
    </row>
    <row r="47" spans="1:21" ht="14.25" customHeight="1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9"/>
      <c r="P47" s="160"/>
      <c r="Q47" s="147"/>
      <c r="R47" s="45"/>
      <c r="S47" s="46"/>
      <c r="T47" s="47"/>
      <c r="U47" s="22"/>
    </row>
    <row r="48" spans="1:21" s="26" customFormat="1" ht="14.25" customHeight="1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9"/>
      <c r="P48" s="161"/>
      <c r="Q48" s="148"/>
      <c r="R48" s="55"/>
      <c r="S48" s="46"/>
      <c r="T48" s="47"/>
      <c r="U48" s="56"/>
    </row>
    <row r="49" spans="1:21" s="26" customFormat="1" ht="39.75" customHeight="1">
      <c r="A49" s="64"/>
      <c r="B49" s="195" t="s">
        <v>342</v>
      </c>
      <c r="C49" s="195"/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59"/>
      <c r="P49" s="162">
        <v>2.14</v>
      </c>
      <c r="Q49" s="148"/>
      <c r="R49" s="55"/>
      <c r="S49" s="46"/>
      <c r="T49" s="47"/>
      <c r="U49" s="56"/>
    </row>
    <row r="50" spans="1:21" s="26" customFormat="1" ht="28.5" customHeight="1">
      <c r="A50" s="64"/>
      <c r="B50" s="195" t="s">
        <v>345</v>
      </c>
      <c r="C50" s="195"/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59"/>
      <c r="P50" s="162">
        <v>11.7</v>
      </c>
      <c r="Q50" s="54"/>
      <c r="R50" s="55"/>
      <c r="S50" s="46"/>
      <c r="T50" s="47"/>
      <c r="U50" s="56"/>
    </row>
    <row r="51" spans="1:21" s="26" customFormat="1" ht="17.25" customHeight="1">
      <c r="A51" s="64"/>
      <c r="B51" s="194" t="s">
        <v>343</v>
      </c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59"/>
      <c r="P51" s="163">
        <v>6.7</v>
      </c>
      <c r="Q51" s="54"/>
      <c r="R51" s="55"/>
      <c r="S51" s="46"/>
      <c r="T51" s="47"/>
      <c r="U51" s="56"/>
    </row>
    <row r="52" spans="1:21" s="26" customFormat="1" ht="17.25" customHeight="1">
      <c r="A52" s="65"/>
      <c r="B52" s="194" t="s">
        <v>344</v>
      </c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54"/>
      <c r="P52" s="53"/>
      <c r="Q52" s="54"/>
      <c r="R52" s="55"/>
      <c r="S52" s="46"/>
      <c r="T52" s="47"/>
      <c r="U52" s="56"/>
    </row>
    <row r="53" spans="1:21" s="26" customFormat="1" ht="17.25" customHeight="1">
      <c r="A53" s="57"/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52"/>
      <c r="P53" s="53"/>
      <c r="Q53" s="54"/>
      <c r="R53" s="55"/>
      <c r="S53" s="46"/>
      <c r="T53" s="47"/>
      <c r="U53" s="56"/>
    </row>
    <row r="54" spans="1:21" s="26" customFormat="1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rowBreaks count="1" manualBreakCount="1">
    <brk id="34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4CC35CB-DE54-4D36-A1F4-EBC47AAC16AA}">
          <x14:formula1>
            <xm:f>'O:\Технический директор\ОКС\Закупочная документация\РАМКИ 2023\НС\Восточные эл. сети\Новые заявки\Апатит с корр. ТУ\[Расчет стоимости Апатит.xlsx]Типовые 4 кв. 2022'!#REF!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182" activePane="bottomLeft" state="frozen"/>
      <selection pane="bottomLeft" activeCell="G134" sqref="G134"/>
    </sheetView>
  </sheetViews>
  <sheetFormatPr defaultColWidth="9.5703125" defaultRowHeight="1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ht="22.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ht="22.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t="22.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t="22.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t="22.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t="22.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t="22.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2024-02-22T06:39:06Z</dcterms:modified>
</cp:coreProperties>
</file>