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0-0-08-04-0-0313\"/>
    </mc:Choice>
  </mc:AlternateContent>
  <xr:revisionPtr revIDLastSave="0" documentId="13_ncr:1_{E9E362E4-FE6F-4773-8740-37B35019885A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4" l="1"/>
  <c r="P43" i="4" l="1"/>
  <c r="P44" i="4" l="1"/>
  <c r="P45" i="4" s="1"/>
  <c r="P46" i="4" s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<sst xmlns="http://schemas.openxmlformats.org/spreadsheetml/2006/main" count="405" uniqueCount="366">
  <si>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</si>
  <si>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</si>
  <si>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</si>
  <si>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</si>
  <si>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</si>
  <si>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</si>
  <si>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</si>
  <si>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</si>
  <si>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</si>
  <si>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</si>
  <si>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</si>
  <si>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</si>
  <si>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</si>
  <si>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</si>
  <si>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</si>
  <si>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</si>
  <si>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</si>
  <si>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</si>
  <si>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</si>
  <si>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</si>
  <si>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</si>
  <si>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</si>
  <si>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</si>
  <si>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</si>
  <si>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</si>
  <si>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</si>
  <si>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</si>
  <si>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</si>
  <si>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</si>
  <si>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</si>
  <si>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</si>
  <si>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</si>
  <si>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</si>
  <si>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</si>
  <si>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</si>
  <si>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</si>
  <si>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</si>
  <si>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</si>
  <si>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</si>
  <si>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</si>
  <si>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</si>
  <si>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</si>
  <si>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</si>
  <si>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</si>
  <si>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</si>
  <si>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</si>
  <si>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</si>
  <si>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</si>
  <si>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</si>
  <si>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</si>
  <si>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</si>
  <si>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</si>
  <si>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</si>
  <si>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</si>
  <si>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</si>
  <si>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</si>
  <si>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</si>
  <si>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</si>
  <si>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</si>
  <si>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</si>
  <si>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</si>
  <si>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</si>
  <si>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</si>
  <si>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</si>
  <si>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</si>
  <si>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</si>
  <si>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</si>
  <si>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</si>
  <si>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</si>
  <si>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</si>
  <si>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</si>
  <si>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</si>
  <si>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</si>
  <si>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</si>
  <si>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</si>
  <si>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</si>
  <si>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</si>
  <si>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</si>
  <si>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</si>
  <si>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</si>
  <si>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</si>
  <si>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</si>
  <si>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</si>
  <si>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</si>
  <si>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</si>
  <si>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</si>
  <si>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</si>
  <si>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</si>
  <si>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</si>
  <si>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</si>
  <si>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</si>
  <si>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</si>
  <si>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</si>
  <si>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</si>
  <si>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</si>
  <si>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</si>
  <si>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</si>
  <si>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</si>
  <si>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</si>
  <si>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</si>
  <si>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</si>
  <si>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</si>
  <si>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</si>
  <si>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</si>
  <si>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</si>
  <si>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</si>
  <si>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</si>
  <si>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</si>
  <si>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</si>
  <si>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</si>
  <si>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</si>
  <si>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</si>
  <si>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</si>
  <si>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</si>
  <si>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</si>
  <si>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</si>
  <si>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</si>
  <si>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</si>
  <si>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</si>
  <si>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</si>
  <si>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</si>
  <si>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</si>
  <si>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</si>
  <si>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</si>
  <si>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</si>
  <si>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</si>
  <si>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</si>
  <si>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</si>
  <si>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</si>
  <si>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</si>
  <si>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</si>
  <si>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</si>
  <si>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</si>
  <si>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</si>
  <si>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</si>
  <si>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</si>
  <si>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</si>
  <si>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</si>
  <si>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</si>
  <si>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</si>
  <si>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</si>
  <si>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</si>
  <si>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</si>
  <si>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</si>
  <si>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</si>
  <si>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</si>
  <si>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</si>
  <si>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</si>
  <si>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</si>
  <si>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</si>
  <si>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</si>
  <si>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</si>
  <si>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</si>
  <si>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</si>
  <si>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</si>
  <si>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</si>
  <si>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</si>
  <si>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</si>
  <si>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</si>
  <si>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</si>
  <si>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</si>
  <si>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</si>
  <si>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</si>
  <si>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</si>
  <si>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</si>
  <si>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</si>
  <si>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</si>
  <si>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</si>
  <si>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</si>
  <si>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</si>
  <si>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</si>
  <si>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</si>
  <si>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</si>
  <si>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</si>
  <si>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</si>
  <si>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</si>
  <si>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</si>
  <si>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</si>
  <si>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</si>
  <si>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</si>
  <si>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</si>
  <si>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</si>
  <si>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</si>
  <si>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</si>
  <si>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</si>
  <si>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</si>
  <si>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</si>
  <si>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</si>
  <si>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</si>
  <si>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</si>
  <si>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</si>
  <si>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</si>
  <si>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</si>
  <si>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</si>
  <si>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</si>
  <si>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</si>
  <si>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</si>
  <si>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</si>
  <si>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</si>
  <si>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</si>
  <si>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</si>
  <si>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</si>
  <si>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</si>
  <si>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</si>
  <si>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</si>
  <si>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</si>
  <si>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</si>
  <si>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</si>
  <si>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</si>
  <si>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</si>
  <si>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</si>
  <si>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</si>
  <si>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</si>
  <si>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</si>
  <si>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</si>
  <si>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</si>
  <si>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</si>
  <si>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</si>
  <si>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</si>
  <si>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</si>
  <si>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</si>
  <si>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</si>
  <si>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</si>
  <si>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</si>
  <si>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</si>
  <si>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</si>
  <si>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</si>
  <si>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</si>
  <si>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</si>
  <si>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</si>
  <si>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</si>
  <si>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</si>
  <si>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</si>
  <si>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</si>
  <si>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</si>
  <si>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</si>
  <si>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</si>
  <si>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</si>
  <si>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</si>
  <si>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</si>
  <si>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</si>
  <si>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</si>
  <si>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</si>
  <si>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</si>
  <si>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</si>
  <si>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</si>
  <si>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</si>
  <si>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</si>
  <si>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</si>
  <si>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</si>
  <si>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</si>
  <si>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</si>
  <si>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</si>
  <si>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</si>
  <si>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</si>
  <si>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</si>
  <si>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</si>
  <si>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</si>
  <si>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</si>
  <si>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</si>
  <si>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</si>
  <si>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</si>
  <si>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</si>
  <si>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</si>
  <si>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</si>
  <si>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</si>
  <si>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</si>
  <si>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</si>
  <si>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</si>
  <si>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</si>
  <si>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</si>
  <si>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</si>
  <si>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</si>
  <si>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</si>
  <si>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</si>
  <si>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</si>
  <si>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</si>
  <si>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</si>
  <si>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</si>
  <si>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</si>
  <si>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</si>
  <si>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</si>
  <si>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</si>
  <si>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</si>
  <si>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</si>
  <si>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</si>
  <si>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</si>
  <si>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</si>
  <si>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</si>
  <si>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</si>
  <si>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</si>
  <si>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</si>
  <si>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</si>
  <si>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</si>
  <si>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</si>
  <si>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</si>
  <si>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</si>
  <si>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</si>
  <si>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</si>
  <si>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</si>
  <si>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</si>
  <si>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</si>
  <si>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</si>
  <si>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</si>
  <si>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</si>
  <si>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</si>
  <si>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</si>
  <si>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</si>
  <si>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</si>
  <si>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</si>
  <si>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</si>
  <si>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</si>
  <si>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</si>
  <si>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</si>
  <si>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</si>
  <si>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</si>
  <si>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</si>
  <si>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</si>
  <si>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</si>
  <si>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</si>
  <si>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</si>
  <si>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</si>
  <si>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</si>
  <si>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</si>
  <si>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</si>
  <si>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</si>
  <si>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</si>
  <si>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</si>
  <si>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</si>
  <si>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</si>
  <si>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</si>
  <si>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</si>
  <si>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</si>
  <si>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</si>
  <si>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</si>
  <si>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</si>
  <si>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</si>
  <si>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</si>
  <si>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</si>
  <si>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</si>
  <si>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</si>
  <si>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</si>
  <si>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</si>
  <si>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</si>
  <si>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</si>
  <si>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</si>
  <si>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</si>
  <si>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</si>
  <si>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</si>
  <si>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</si>
  <si>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</si>
  <si>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</si>
  <si>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</si>
  <si>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</si>
  <si>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</si>
  <si>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</si>
  <si>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</si>
  <si>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</si>
  <si>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</si>
  <si>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</si>
  <si>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</si>
  <si>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</si>
  <si>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</si>
  <si>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оборудования ТП-22 в части замены автоматических выключателей - 2 шт. по договору ТП № 10-070/005-ПС-22 (Тосненское Райпо) в г.Тосно ЛО</t>
  </si>
  <si>
    <t>шт</t>
  </si>
  <si>
    <t>O_23-1-10-0-08-04-0-0313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</si>
</sst>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S33" sqref="S33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9.5" customHeight="1" x14ac:dyDescent="0.25"/>
    <row r="5" spans="1:22" ht="30" customHeight="1" x14ac:dyDescent="0.25">
      <c r="A5" s="188" t="s">
        <v>363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</row>
    <row r="6" spans="1:22" ht="10.5" customHeight="1" x14ac:dyDescent="0.25"/>
    <row r="7" spans="1:22" ht="13.5" customHeight="1" x14ac:dyDescent="0.25">
      <c r="A7" s="6" t="s">
        <v>5</v>
      </c>
      <c r="H7" s="191" t="s">
        <v>365</v>
      </c>
      <c r="I7" s="191"/>
      <c r="J7" s="191"/>
      <c r="K7" s="191"/>
      <c r="L7" s="191"/>
      <c r="M7" s="191"/>
      <c r="N7" s="191"/>
      <c r="O7" s="191"/>
      <c r="P7" s="191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0" t="s">
        <v>75</v>
      </c>
      <c r="I9" s="190"/>
      <c r="J9" s="190"/>
      <c r="K9" s="19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0" t="s">
        <v>6</v>
      </c>
      <c r="B13" s="170" t="s">
        <v>9</v>
      </c>
      <c r="C13" s="170" t="s">
        <v>334</v>
      </c>
      <c r="D13" s="170" t="s">
        <v>349</v>
      </c>
      <c r="E13" s="170"/>
      <c r="F13" s="170"/>
      <c r="G13" s="170"/>
      <c r="H13" s="170" t="s">
        <v>335</v>
      </c>
      <c r="I13" s="170" t="s">
        <v>348</v>
      </c>
      <c r="J13" s="170" t="s">
        <v>7</v>
      </c>
      <c r="K13" s="168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7" t="s">
        <v>337</v>
      </c>
      <c r="Q13" s="24"/>
    </row>
    <row r="14" spans="1:22" ht="38.25" customHeight="1" x14ac:dyDescent="0.25">
      <c r="A14" s="170"/>
      <c r="B14" s="170"/>
      <c r="C14" s="170"/>
      <c r="D14" s="136" t="s">
        <v>89</v>
      </c>
      <c r="E14" s="136" t="s">
        <v>91</v>
      </c>
      <c r="F14" s="136" t="s">
        <v>93</v>
      </c>
      <c r="G14" s="136" t="s">
        <v>318</v>
      </c>
      <c r="H14" s="170"/>
      <c r="I14" s="170"/>
      <c r="J14" s="170"/>
      <c r="K14" s="168"/>
      <c r="L14" s="136" t="s">
        <v>1</v>
      </c>
      <c r="M14" s="136" t="s">
        <v>317</v>
      </c>
      <c r="N14" s="136" t="s">
        <v>2</v>
      </c>
      <c r="O14" s="136" t="s">
        <v>3</v>
      </c>
      <c r="P14" s="187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39"/>
      <c r="R15" s="139"/>
      <c r="S15" s="139"/>
      <c r="T15" s="139"/>
      <c r="U15" s="39"/>
      <c r="V15" s="17"/>
    </row>
    <row r="16" spans="1:22" ht="30.75" customHeight="1" x14ac:dyDescent="0.25">
      <c r="A16" s="10"/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364</v>
      </c>
      <c r="K16" s="156">
        <v>2</v>
      </c>
      <c r="L16" s="33">
        <f>(N16+O16)*0.08</f>
        <v>21999.189104000005</v>
      </c>
      <c r="M16" s="33">
        <v>0</v>
      </c>
      <c r="N16" s="34">
        <f>K16*H16</f>
        <v>226599.54580000005</v>
      </c>
      <c r="O16" s="34">
        <f>K16*I16</f>
        <v>48390.317999999999</v>
      </c>
      <c r="P16" s="34">
        <f t="shared" ref="P16" si="0">SUM(L16:O16)</f>
        <v>296989.05290400004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40" t="s">
        <v>132</v>
      </c>
      <c r="C17" s="37">
        <f>VLOOKUP($B$16:$B$29,'Наименование работ'!B:G,6,)</f>
        <v>40761.360000000001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158038.90780000002</v>
      </c>
      <c r="I17" s="36">
        <f>VLOOKUP($B$16:$B$29,'Наименование работ'!B:R,17,)</f>
        <v>200618.27249999999</v>
      </c>
      <c r="J17" s="38" t="s">
        <v>352</v>
      </c>
      <c r="K17" s="149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184</v>
      </c>
      <c r="C18" s="37">
        <f>VLOOKUP($B$16:$B$29,'Наименование работ'!B:G,6,)</f>
        <v>669729.81000000006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4716973.8205000004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66</v>
      </c>
      <c r="C19" s="37">
        <f>VLOOKUP($B$16:$B$29,'Наименование работ'!B:G,6,)</f>
        <v>568619.43000000005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4052197.5176000008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210</v>
      </c>
      <c r="C20" s="37">
        <f>VLOOKUP($B$16:$B$29,'Наименование работ'!B:G,6,)</f>
        <v>898103.22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8348995.227599998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4" t="s">
        <v>317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6"/>
      <c r="P30" s="34">
        <f>SUM(M16:M29)</f>
        <v>0</v>
      </c>
    </row>
    <row r="31" spans="1:22" ht="16.5" customHeight="1" x14ac:dyDescent="0.25">
      <c r="A31" s="141"/>
      <c r="B31" s="184" t="s">
        <v>2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6"/>
      <c r="P31" s="35">
        <f>SUM(N16:N29)</f>
        <v>226599.54580000005</v>
      </c>
    </row>
    <row r="32" spans="1:22" ht="16.5" customHeight="1" x14ac:dyDescent="0.25">
      <c r="A32" s="141"/>
      <c r="B32" s="184" t="s">
        <v>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6"/>
      <c r="P32" s="35">
        <f>SUM(O16:O29)</f>
        <v>48390.317999999999</v>
      </c>
    </row>
    <row r="33" spans="1:21" ht="16.5" customHeight="1" x14ac:dyDescent="0.25">
      <c r="A33" s="141"/>
      <c r="B33" s="184" t="s">
        <v>346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6"/>
      <c r="P33" s="35">
        <f>SUM(L16:L29)</f>
        <v>21999.189104000005</v>
      </c>
      <c r="Q33" s="32"/>
      <c r="R33" s="32"/>
    </row>
    <row r="34" spans="1:21" ht="16.5" customHeight="1" x14ac:dyDescent="0.25">
      <c r="A34" s="141"/>
      <c r="B34" s="165" t="s">
        <v>12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7"/>
      <c r="P34" s="34">
        <f>SUM(P30:P33)</f>
        <v>296989.05290400004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0" t="s">
        <v>0</v>
      </c>
      <c r="C38" s="170"/>
      <c r="D38" s="170"/>
      <c r="E38" s="170"/>
      <c r="F38" s="172" t="s">
        <v>337</v>
      </c>
      <c r="G38" s="172"/>
      <c r="H38" s="173"/>
      <c r="I38" s="178" t="s">
        <v>354</v>
      </c>
      <c r="J38" s="179"/>
      <c r="K38" s="168" t="s">
        <v>338</v>
      </c>
      <c r="L38" s="168"/>
      <c r="M38" s="168" t="s">
        <v>339</v>
      </c>
      <c r="N38" s="168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1" t="s">
        <v>319</v>
      </c>
      <c r="C39" s="171"/>
      <c r="D39" s="171"/>
      <c r="E39" s="171"/>
      <c r="F39" s="174">
        <f>P33+P30</f>
        <v>21999.189104000005</v>
      </c>
      <c r="G39" s="174"/>
      <c r="H39" s="175"/>
      <c r="I39" s="180">
        <v>1.07</v>
      </c>
      <c r="J39" s="181"/>
      <c r="K39" s="169">
        <f>F39*$I$39</f>
        <v>23539.132341280005</v>
      </c>
      <c r="L39" s="169"/>
      <c r="M39" s="169">
        <f>K39*1.2</f>
        <v>28246.958809536005</v>
      </c>
      <c r="N39" s="169"/>
      <c r="O39" s="157" t="s">
        <v>74</v>
      </c>
      <c r="P39" s="158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1" t="s">
        <v>2</v>
      </c>
      <c r="C40" s="171"/>
      <c r="D40" s="171"/>
      <c r="E40" s="171"/>
      <c r="F40" s="176">
        <f>P31</f>
        <v>226599.54580000005</v>
      </c>
      <c r="G40" s="176"/>
      <c r="H40" s="177"/>
      <c r="I40" s="182"/>
      <c r="J40" s="183"/>
      <c r="K40" s="169">
        <f t="shared" ref="K40:K41" si="11">F40*$I$39</f>
        <v>242461.51400600007</v>
      </c>
      <c r="L40" s="169"/>
      <c r="M40" s="169">
        <f>K40*1.2</f>
        <v>290953.81680720008</v>
      </c>
      <c r="N40" s="169"/>
      <c r="O40" s="157" t="s">
        <v>75</v>
      </c>
      <c r="P40" s="158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1" t="s">
        <v>3</v>
      </c>
      <c r="C41" s="171"/>
      <c r="D41" s="171"/>
      <c r="E41" s="171"/>
      <c r="F41" s="176">
        <f>P32</f>
        <v>48390.317999999999</v>
      </c>
      <c r="G41" s="176"/>
      <c r="H41" s="177"/>
      <c r="I41" s="182"/>
      <c r="J41" s="183"/>
      <c r="K41" s="169">
        <f t="shared" si="11"/>
        <v>51777.64026</v>
      </c>
      <c r="L41" s="169"/>
      <c r="M41" s="192">
        <f t="shared" ref="M41" si="12">K41*1.2</f>
        <v>62133.168311999994</v>
      </c>
      <c r="N41" s="192"/>
      <c r="O41" s="157" t="s">
        <v>76</v>
      </c>
      <c r="P41" s="158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1" t="s">
        <v>4</v>
      </c>
      <c r="C42" s="171"/>
      <c r="D42" s="171"/>
      <c r="E42" s="171"/>
      <c r="F42" s="176"/>
      <c r="G42" s="176"/>
      <c r="H42" s="177"/>
      <c r="I42" s="182"/>
      <c r="J42" s="183"/>
      <c r="K42" s="197">
        <f>SUM(F43:H45)*$I$39</f>
        <v>65271.660069135323</v>
      </c>
      <c r="L42" s="198"/>
      <c r="M42" s="197">
        <f>K42*1.2</f>
        <v>78325.992082962388</v>
      </c>
      <c r="N42" s="198"/>
      <c r="O42" s="157" t="s">
        <v>77</v>
      </c>
      <c r="P42" s="158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3" t="s">
        <v>356</v>
      </c>
      <c r="C43" s="203"/>
      <c r="D43" s="203"/>
      <c r="E43" s="203"/>
      <c r="F43" s="201">
        <f>SUM(F39:H41)/100*P49</f>
        <v>6355.565732145601</v>
      </c>
      <c r="G43" s="201"/>
      <c r="H43" s="202"/>
      <c r="I43" s="182"/>
      <c r="J43" s="183"/>
      <c r="K43" s="199"/>
      <c r="L43" s="200"/>
      <c r="M43" s="199"/>
      <c r="N43" s="200"/>
      <c r="O43" s="159" t="s">
        <v>359</v>
      </c>
      <c r="P43" s="158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3" t="s">
        <v>358</v>
      </c>
      <c r="C44" s="203"/>
      <c r="D44" s="203"/>
      <c r="E44" s="203"/>
      <c r="F44" s="201">
        <f>SUM(F39:H41)/100*P50</f>
        <v>34747.719189768002</v>
      </c>
      <c r="G44" s="201"/>
      <c r="H44" s="202"/>
      <c r="I44" s="182"/>
      <c r="J44" s="183"/>
      <c r="K44" s="199"/>
      <c r="L44" s="200"/>
      <c r="M44" s="199"/>
      <c r="N44" s="200"/>
      <c r="O44" s="159" t="s">
        <v>360</v>
      </c>
      <c r="P44" s="158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4" t="s">
        <v>357</v>
      </c>
      <c r="C45" s="204"/>
      <c r="D45" s="204"/>
      <c r="E45" s="204"/>
      <c r="F45" s="201">
        <f>SUM(F39:H41)/100*P51</f>
        <v>19898.266544568003</v>
      </c>
      <c r="G45" s="201"/>
      <c r="H45" s="202"/>
      <c r="I45" s="182"/>
      <c r="J45" s="183"/>
      <c r="K45" s="199"/>
      <c r="L45" s="200"/>
      <c r="M45" s="199"/>
      <c r="N45" s="200"/>
      <c r="O45" s="159" t="s">
        <v>361</v>
      </c>
      <c r="P45" s="158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205" t="s">
        <v>81</v>
      </c>
      <c r="B46" s="205"/>
      <c r="C46" s="205"/>
      <c r="D46" s="205"/>
      <c r="E46" s="205"/>
      <c r="F46" s="196">
        <f>SUM(F39:H45)</f>
        <v>357990.60437048168</v>
      </c>
      <c r="G46" s="196"/>
      <c r="H46" s="196"/>
      <c r="I46" s="196"/>
      <c r="J46" s="196"/>
      <c r="K46" s="195">
        <f>SUM(K39:L45)</f>
        <v>383049.94667641539</v>
      </c>
      <c r="L46" s="195"/>
      <c r="M46" s="195">
        <f>SUM(M39:N45)</f>
        <v>459659.93601169845</v>
      </c>
      <c r="N46" s="195"/>
      <c r="O46" s="159" t="s">
        <v>362</v>
      </c>
      <c r="P46" s="158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4" t="s">
        <v>342</v>
      </c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59"/>
      <c r="P49" s="162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4" t="s">
        <v>345</v>
      </c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59"/>
      <c r="P50" s="16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3" t="s">
        <v>343</v>
      </c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59"/>
      <c r="P51" s="16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3" t="s">
        <v>344</v>
      </c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968356F-89EB-4BD6-B908-A434B620FB78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2024-02-21T11:56:54Z</dcterms:modified>
</cp:coreProperties>
</file>