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ИТОГ\N_23-1-20-1-08-03-0-0662\"/>
    </mc:Choice>
  </mc:AlternateContent>
  <xr:revisionPtr revIDLastSave="0" documentId="13_ncr:1_{8474BAE1-29C3-4C58-A8C3-E7B4AD7F8DC9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4" l="1"/>
  <c r="N18" i="4"/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D18" i="4"/>
  <c r="E18" i="4"/>
  <c r="F18" i="4"/>
  <c r="G18" i="4"/>
  <c r="P23" i="4" l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<sst xmlns="http://schemas.openxmlformats.org/spreadsheetml/2006/main" count="405" uniqueCount="367">
  <si>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</si>
  <si>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</si>
  <si>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</si>
  <si>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</si>
  <si>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</si>
  <si>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</si>
  <si>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</si>
  <si>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</si>
  <si>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</si>
  <si>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</si>
  <si>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</si>
  <si>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</si>
  <si>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</si>
  <si>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</si>
  <si>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</si>
  <si>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</si>
  <si>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</si>
  <si>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</si>
  <si>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</si>
  <si>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</si>
  <si>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</si>
  <si>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</si>
  <si>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</si>
  <si>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</si>
  <si>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</si>
  <si>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</si>
  <si>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</si>
  <si>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</si>
  <si>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</si>
  <si>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</si>
  <si>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</si>
  <si>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</si>
  <si>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</si>
  <si>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</si>
  <si>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</si>
  <si>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</si>
  <si>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</si>
  <si>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</si>
  <si>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</si>
  <si>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</si>
  <si>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</si>
  <si>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</si>
  <si>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</si>
  <si>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</si>
  <si>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</si>
  <si>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</si>
  <si>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</si>
  <si>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</si>
  <si>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</si>
  <si>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</si>
  <si>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</si>
  <si>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</si>
  <si>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</si>
  <si>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</si>
  <si>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</si>
  <si>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</si>
  <si>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</si>
  <si>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</si>
  <si>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</si>
  <si>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</si>
  <si>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</si>
  <si>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</si>
  <si>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</si>
  <si>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</si>
  <si>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</si>
  <si>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</si>
  <si>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</si>
  <si>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</si>
  <si>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</si>
  <si>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</si>
  <si>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</si>
  <si>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</si>
  <si>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</si>
  <si>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</si>
  <si>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</si>
  <si>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</si>
  <si>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</si>
  <si>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</si>
  <si>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</si>
  <si>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</si>
  <si>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</si>
  <si>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</si>
  <si>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</si>
  <si>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</si>
  <si>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</si>
  <si>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</si>
  <si>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</si>
  <si>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</si>
  <si>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</si>
  <si>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</si>
  <si>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</si>
  <si>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</si>
  <si>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</si>
  <si>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</si>
  <si>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</si>
  <si>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</si>
  <si>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</si>
  <si>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</si>
  <si>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</si>
  <si>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</si>
  <si>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</si>
  <si>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</si>
  <si>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</si>
  <si>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</si>
  <si>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</si>
  <si>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</si>
  <si>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</si>
  <si>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</si>
  <si>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</si>
  <si>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</si>
  <si>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</si>
  <si>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</si>
  <si>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</si>
  <si>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</si>
  <si>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</si>
  <si>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</si>
  <si>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</si>
  <si>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</si>
  <si>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</si>
  <si>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</si>
  <si>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</si>
  <si>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</si>
  <si>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</si>
  <si>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</si>
  <si>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</si>
  <si>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</si>
  <si>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</si>
  <si>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</si>
  <si>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</si>
  <si>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</si>
  <si>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</si>
  <si>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</si>
  <si>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</si>
  <si>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</si>
  <si>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</si>
  <si>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</si>
  <si>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</si>
  <si>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</si>
  <si>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</si>
  <si>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</si>
  <si>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</si>
  <si>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</si>
  <si>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</si>
  <si>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</si>
  <si>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</si>
  <si>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</si>
  <si>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</si>
  <si>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</si>
  <si>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</si>
  <si>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</si>
  <si>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</si>
  <si>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</si>
  <si>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</si>
  <si>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</si>
  <si>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</si>
  <si>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</si>
  <si>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</si>
  <si>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</si>
  <si>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</si>
  <si>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</si>
  <si>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</si>
  <si>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</si>
  <si>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</si>
  <si>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</si>
  <si>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</si>
  <si>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</si>
  <si>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</si>
  <si>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</si>
  <si>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</si>
  <si>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</si>
  <si>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</si>
  <si>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</si>
  <si>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</si>
  <si>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</si>
  <si>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</si>
  <si>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</si>
  <si>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</si>
  <si>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</si>
  <si>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</si>
  <si>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</si>
  <si>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</si>
  <si>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</si>
  <si>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</si>
  <si>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</si>
  <si>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</si>
  <si>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</si>
  <si>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</si>
  <si>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</si>
  <si>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</si>
  <si>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</si>
  <si>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</si>
  <si>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</si>
  <si>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</si>
  <si>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</si>
  <si>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</si>
  <si>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</si>
  <si>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</si>
  <si>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</si>
  <si>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</si>
  <si>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</si>
  <si>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</si>
  <si>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</si>
  <si>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</si>
  <si>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</si>
  <si>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</si>
  <si>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</si>
  <si>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</si>
  <si>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</si>
  <si>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</si>
  <si>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</si>
  <si>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</si>
  <si>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</si>
  <si>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</si>
  <si>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</si>
  <si>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</si>
  <si>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</si>
  <si>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</si>
  <si>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</si>
  <si>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</si>
  <si>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</si>
  <si>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</si>
  <si>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</si>
  <si>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</si>
  <si>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</si>
  <si>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</si>
  <si>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</si>
  <si>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</si>
  <si>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</si>
  <si>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</si>
  <si>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</si>
  <si>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</si>
  <si>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</si>
  <si>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</si>
  <si>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</si>
  <si>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</si>
  <si>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</si>
  <si>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</si>
  <si>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</si>
  <si>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</si>
  <si>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</si>
  <si>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</si>
  <si>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</si>
  <si>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</si>
  <si>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</si>
  <si>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</si>
  <si>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</si>
  <si>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</si>
  <si>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</si>
  <si>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</si>
  <si>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</si>
  <si>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</si>
  <si>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</si>
  <si>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</si>
  <si>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</si>
  <si>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</si>
  <si>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</si>
  <si>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</si>
  <si>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</si>
  <si>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</si>
  <si>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</si>
  <si>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</si>
  <si>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</si>
  <si>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</si>
  <si>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</si>
  <si>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</si>
  <si>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</si>
  <si>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</si>
  <si>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</si>
  <si>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</si>
  <si>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</si>
  <si>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</si>
  <si>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</si>
  <si>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</si>
  <si>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</si>
  <si>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</si>
  <si>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</si>
  <si>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</si>
  <si>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</si>
  <si>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</si>
  <si>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</si>
  <si>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</si>
  <si>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</si>
  <si>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</si>
  <si>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</si>
  <si>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</si>
  <si>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</si>
  <si>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</si>
  <si>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</si>
  <si>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</si>
  <si>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</si>
  <si>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</si>
  <si>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</si>
  <si>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</si>
  <si>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</si>
  <si>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</si>
  <si>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</si>
  <si>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</si>
  <si>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</si>
  <si>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</si>
  <si>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</si>
  <si>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</si>
  <si>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</si>
  <si>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</si>
  <si>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</si>
  <si>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</si>
  <si>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</si>
  <si>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</si>
  <si>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</si>
  <si>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</si>
  <si>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</si>
  <si>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</si>
  <si>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</si>
  <si>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</si>
  <si>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</si>
  <si>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</si>
  <si>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</si>
  <si>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</si>
  <si>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</si>
  <si>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</si>
  <si>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</si>
  <si>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</si>
  <si>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</si>
  <si>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</si>
  <si>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</si>
  <si>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</si>
  <si>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</si>
  <si>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</si>
  <si>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</si>
  <si>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</si>
  <si>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</si>
  <si>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</si>
  <si>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</si>
  <si>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</si>
  <si>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</si>
  <si>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</si>
  <si>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</si>
  <si>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</si>
  <si>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</si>
  <si>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</si>
  <si>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</si>
  <si>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</si>
  <si>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</si>
  <si>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</si>
  <si>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</si>
  <si>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</si>
  <si>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</si>
  <si>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</si>
  <si>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</si>
  <si>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</si>
  <si>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</si>
  <si>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</si>
  <si>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</si>
  <si>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</si>
  <si>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</si>
  <si>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</si>
  <si>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</si>
  <si>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</si>
  <si>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</si>
  <si>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</si>
  <si>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</si>
  <si>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</si>
  <si>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</si>
  <si>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</si>
  <si>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2КЛ-0,4 протяженностью 0,29 км по договору ТП №20-009/005-ПС-22 в г. Волхов ЛО</t>
  </si>
  <si>
    <t>Га</t>
  </si>
  <si>
    <t>30 м2</t>
  </si>
  <si>
    <t>N_23-1-20-1-08-03-0-0662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</si>
</sst>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10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wrapText="1"/>
    </xf>
    <xf numFmtId="0" fontId="18" fillId="3" borderId="3" xfId="0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2" t="s">
        <v>363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22" ht="10.5" customHeight="1" x14ac:dyDescent="0.25"/>
    <row r="7" spans="1:22" ht="13.5" customHeight="1" x14ac:dyDescent="0.25">
      <c r="A7" s="6" t="s">
        <v>5</v>
      </c>
      <c r="H7" s="195" t="s">
        <v>366</v>
      </c>
      <c r="I7" s="195"/>
      <c r="J7" s="195"/>
      <c r="K7" s="195"/>
      <c r="L7" s="195"/>
      <c r="M7" s="195"/>
      <c r="N7" s="195"/>
      <c r="O7" s="195"/>
      <c r="P7" s="19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4" t="s">
        <v>75</v>
      </c>
      <c r="I9" s="194"/>
      <c r="J9" s="194"/>
      <c r="K9" s="194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4" t="s">
        <v>6</v>
      </c>
      <c r="B13" s="174" t="s">
        <v>9</v>
      </c>
      <c r="C13" s="174" t="s">
        <v>334</v>
      </c>
      <c r="D13" s="174" t="s">
        <v>349</v>
      </c>
      <c r="E13" s="174"/>
      <c r="F13" s="174"/>
      <c r="G13" s="174"/>
      <c r="H13" s="174" t="s">
        <v>335</v>
      </c>
      <c r="I13" s="174" t="s">
        <v>348</v>
      </c>
      <c r="J13" s="174" t="s">
        <v>7</v>
      </c>
      <c r="K13" s="172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1" t="s">
        <v>337</v>
      </c>
      <c r="Q13" s="24"/>
    </row>
    <row r="14" spans="1:22" ht="38.25" customHeight="1" x14ac:dyDescent="0.25">
      <c r="A14" s="174"/>
      <c r="B14" s="174"/>
      <c r="C14" s="174"/>
      <c r="D14" s="136" t="s">
        <v>89</v>
      </c>
      <c r="E14" s="136" t="s">
        <v>91</v>
      </c>
      <c r="F14" s="136" t="s">
        <v>93</v>
      </c>
      <c r="G14" s="136" t="s">
        <v>318</v>
      </c>
      <c r="H14" s="174"/>
      <c r="I14" s="174"/>
      <c r="J14" s="174"/>
      <c r="K14" s="172"/>
      <c r="L14" s="136" t="s">
        <v>1</v>
      </c>
      <c r="M14" s="136" t="s">
        <v>317</v>
      </c>
      <c r="N14" s="136" t="s">
        <v>2</v>
      </c>
      <c r="O14" s="136" t="s">
        <v>3</v>
      </c>
      <c r="P14" s="191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4" t="s">
        <v>184</v>
      </c>
      <c r="C16" s="37">
        <f>VLOOKUP($B$16:$B$29,'Наименование работ'!B:G,6,)</f>
        <v>669729.81000000006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4716973.8205000004</v>
      </c>
      <c r="I16" s="36">
        <f>VLOOKUP($B$16:$B$29,'Наименование работ'!B:R,17,)</f>
        <v>0</v>
      </c>
      <c r="J16" s="38" t="s">
        <v>353</v>
      </c>
      <c r="K16" s="163">
        <v>0.28999999999999998</v>
      </c>
      <c r="L16" s="33">
        <v>109433.79</v>
      </c>
      <c r="M16" s="33">
        <v>35597.5</v>
      </c>
      <c r="N16" s="34">
        <f>K16*H16</f>
        <v>1367922.4079450001</v>
      </c>
      <c r="O16" s="34">
        <f>K16*I16</f>
        <v>0</v>
      </c>
      <c r="P16" s="34">
        <f t="shared" ref="P16" si="0">SUM(L16:O16)</f>
        <v>1512953.6979450001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5" t="s">
        <v>314</v>
      </c>
      <c r="C17" s="37">
        <f>VLOOKUP($B$16:$B$29,'Наименование работ'!B:G,6,)</f>
        <v>130851.22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1461107.9273000001</v>
      </c>
      <c r="I17" s="36">
        <f>VLOOKUP($B$16:$B$29,'Наименование работ'!B:R,17,)</f>
        <v>0</v>
      </c>
      <c r="J17" s="38" t="s">
        <v>364</v>
      </c>
      <c r="K17" s="163">
        <v>0.06</v>
      </c>
      <c r="L17" s="33">
        <v>7013.32</v>
      </c>
      <c r="M17" s="33">
        <v>7365</v>
      </c>
      <c r="N17" s="34">
        <f t="shared" ref="N17:N29" si="1">K17*H17</f>
        <v>87666.475638000004</v>
      </c>
      <c r="O17" s="34">
        <f t="shared" ref="O17:O29" si="2">K17*I17</f>
        <v>0</v>
      </c>
      <c r="P17" s="34">
        <f t="shared" ref="P17" si="3">SUM(L17:O17)</f>
        <v>102044.79563800001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64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164832.92600000001</v>
      </c>
      <c r="I18" s="36">
        <f>VLOOKUP($B$16:$B$29,'Наименование работ'!B:R,17,)</f>
        <v>0</v>
      </c>
      <c r="J18" s="38" t="s">
        <v>365</v>
      </c>
      <c r="K18" s="163">
        <v>5</v>
      </c>
      <c r="L18" s="33">
        <v>65933.17</v>
      </c>
      <c r="M18" s="33">
        <v>613750</v>
      </c>
      <c r="N18" s="34">
        <f t="shared" si="1"/>
        <v>824164.63</v>
      </c>
      <c r="O18" s="34">
        <f t="shared" si="2"/>
        <v>0</v>
      </c>
      <c r="P18" s="34">
        <f t="shared" ref="P18" si="4">SUM(L18:O18)</f>
        <v>1503847.8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66</v>
      </c>
      <c r="C19" s="37">
        <f>VLOOKUP($B$16:$B$29,'Наименование работ'!B:G,6,)</f>
        <v>568619.43000000005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4052197.5176000008</v>
      </c>
      <c r="I19" s="36">
        <f>VLOOKUP($B$16:$B$29,'Наименование работ'!B:R,17,)</f>
        <v>0</v>
      </c>
      <c r="J19" s="38" t="s">
        <v>353</v>
      </c>
      <c r="K19" s="155">
        <v>0</v>
      </c>
      <c r="L19" s="33">
        <f>(N19+O19)*0.04</f>
        <v>0</v>
      </c>
      <c r="M19" s="33">
        <f t="shared" ref="M19:M29" si="5">147300*K19</f>
        <v>0</v>
      </c>
      <c r="N19" s="34">
        <f t="shared" si="1"/>
        <v>0</v>
      </c>
      <c r="O19" s="34">
        <f t="shared" si="2"/>
        <v>0</v>
      </c>
      <c r="P19" s="34">
        <f t="shared" ref="P19:P23" si="6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55">
        <v>0</v>
      </c>
      <c r="L20" s="33">
        <f>(N20+O20)*0.04</f>
        <v>0</v>
      </c>
      <c r="M20" s="33">
        <f t="shared" si="5"/>
        <v>0</v>
      </c>
      <c r="N20" s="34">
        <f t="shared" si="1"/>
        <v>0</v>
      </c>
      <c r="O20" s="34">
        <f t="shared" si="2"/>
        <v>0</v>
      </c>
      <c r="P20" s="34">
        <f t="shared" si="6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5"/>
        <v>0</v>
      </c>
      <c r="N21" s="34">
        <f t="shared" si="1"/>
        <v>0</v>
      </c>
      <c r="O21" s="34">
        <f t="shared" si="2"/>
        <v>0</v>
      </c>
      <c r="P21" s="34">
        <f t="shared" si="6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7">(N22+O22)*0.08</f>
        <v>0</v>
      </c>
      <c r="M22" s="33">
        <f t="shared" si="5"/>
        <v>0</v>
      </c>
      <c r="N22" s="34">
        <f t="shared" si="1"/>
        <v>0</v>
      </c>
      <c r="O22" s="34">
        <f t="shared" si="2"/>
        <v>0</v>
      </c>
      <c r="P22" s="34">
        <f t="shared" si="6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7"/>
        <v>0</v>
      </c>
      <c r="M23" s="33">
        <f t="shared" si="5"/>
        <v>0</v>
      </c>
      <c r="N23" s="34">
        <f t="shared" si="1"/>
        <v>0</v>
      </c>
      <c r="O23" s="34">
        <f t="shared" si="2"/>
        <v>0</v>
      </c>
      <c r="P23" s="34">
        <f t="shared" si="6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7"/>
        <v>0</v>
      </c>
      <c r="M24" s="33">
        <f t="shared" si="5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7"/>
        <v>0</v>
      </c>
      <c r="M25" s="33">
        <f t="shared" si="5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7"/>
        <v>0</v>
      </c>
      <c r="M26" s="33">
        <f t="shared" si="5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7"/>
        <v>0</v>
      </c>
      <c r="M27" s="33">
        <f t="shared" si="5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7"/>
        <v>0</v>
      </c>
      <c r="M28" s="33">
        <f t="shared" si="5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7"/>
        <v>0</v>
      </c>
      <c r="M29" s="33">
        <f t="shared" si="5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8" t="s">
        <v>317</v>
      </c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90"/>
      <c r="P30" s="34">
        <f>SUM(M16:M29)</f>
        <v>656712.5</v>
      </c>
    </row>
    <row r="31" spans="1:22" ht="16.5" customHeight="1" x14ac:dyDescent="0.25">
      <c r="A31" s="141"/>
      <c r="B31" s="188" t="s">
        <v>2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90"/>
      <c r="P31" s="35">
        <f>SUM(N16:N29)</f>
        <v>2279753.5135830003</v>
      </c>
    </row>
    <row r="32" spans="1:22" ht="16.5" customHeight="1" x14ac:dyDescent="0.25">
      <c r="A32" s="141"/>
      <c r="B32" s="188" t="s">
        <v>3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90"/>
      <c r="P32" s="35">
        <f>SUM(O16:O29)</f>
        <v>0</v>
      </c>
    </row>
    <row r="33" spans="1:21" ht="16.5" customHeight="1" x14ac:dyDescent="0.25">
      <c r="A33" s="141"/>
      <c r="B33" s="188" t="s">
        <v>346</v>
      </c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90"/>
      <c r="P33" s="35">
        <f>SUM(L16:L29)</f>
        <v>182380.27999999997</v>
      </c>
      <c r="Q33" s="32"/>
      <c r="R33" s="32"/>
    </row>
    <row r="34" spans="1:21" ht="16.5" customHeight="1" x14ac:dyDescent="0.25">
      <c r="A34" s="141"/>
      <c r="B34" s="169" t="s">
        <v>12</v>
      </c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34">
        <f>SUM(P30:P33)</f>
        <v>3118846.2935830001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4" t="s">
        <v>0</v>
      </c>
      <c r="C38" s="174"/>
      <c r="D38" s="174"/>
      <c r="E38" s="174"/>
      <c r="F38" s="176" t="s">
        <v>337</v>
      </c>
      <c r="G38" s="176"/>
      <c r="H38" s="177"/>
      <c r="I38" s="182" t="s">
        <v>354</v>
      </c>
      <c r="J38" s="183"/>
      <c r="K38" s="172" t="s">
        <v>338</v>
      </c>
      <c r="L38" s="172"/>
      <c r="M38" s="172" t="s">
        <v>339</v>
      </c>
      <c r="N38" s="172"/>
      <c r="O38" s="167"/>
      <c r="P38" s="167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5" t="s">
        <v>319</v>
      </c>
      <c r="C39" s="175"/>
      <c r="D39" s="175"/>
      <c r="E39" s="175"/>
      <c r="F39" s="178">
        <f>P33+P30</f>
        <v>839092.78</v>
      </c>
      <c r="G39" s="178"/>
      <c r="H39" s="179"/>
      <c r="I39" s="184">
        <v>1.07</v>
      </c>
      <c r="J39" s="185"/>
      <c r="K39" s="173">
        <f>F39*$I$39</f>
        <v>897829.27460000012</v>
      </c>
      <c r="L39" s="173"/>
      <c r="M39" s="173">
        <f>K39*1.2</f>
        <v>1077395.1295200002</v>
      </c>
      <c r="N39" s="173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5" t="s">
        <v>2</v>
      </c>
      <c r="C40" s="175"/>
      <c r="D40" s="175"/>
      <c r="E40" s="175"/>
      <c r="F40" s="180">
        <f>P31</f>
        <v>2279753.5135830003</v>
      </c>
      <c r="G40" s="180"/>
      <c r="H40" s="181"/>
      <c r="I40" s="186"/>
      <c r="J40" s="187"/>
      <c r="K40" s="173">
        <f t="shared" ref="K40:K41" si="11">F40*$I$39</f>
        <v>2439336.2595338104</v>
      </c>
      <c r="L40" s="173"/>
      <c r="M40" s="173">
        <f>K40*1.2</f>
        <v>2927203.5114405723</v>
      </c>
      <c r="N40" s="173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5" t="s">
        <v>3</v>
      </c>
      <c r="C41" s="175"/>
      <c r="D41" s="175"/>
      <c r="E41" s="175"/>
      <c r="F41" s="180">
        <f>P32</f>
        <v>0</v>
      </c>
      <c r="G41" s="180"/>
      <c r="H41" s="181"/>
      <c r="I41" s="186"/>
      <c r="J41" s="187"/>
      <c r="K41" s="173">
        <f t="shared" si="11"/>
        <v>0</v>
      </c>
      <c r="L41" s="173"/>
      <c r="M41" s="196">
        <f t="shared" ref="M41" si="12">K41*1.2</f>
        <v>0</v>
      </c>
      <c r="N41" s="196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5" t="s">
        <v>4</v>
      </c>
      <c r="C42" s="175"/>
      <c r="D42" s="175"/>
      <c r="E42" s="175"/>
      <c r="F42" s="180"/>
      <c r="G42" s="180"/>
      <c r="H42" s="181"/>
      <c r="I42" s="186"/>
      <c r="J42" s="187"/>
      <c r="K42" s="201">
        <f>SUM(F43:H45)*$I$39</f>
        <v>685453.80071108462</v>
      </c>
      <c r="L42" s="202"/>
      <c r="M42" s="201">
        <f>K42*1.2</f>
        <v>822544.56085330155</v>
      </c>
      <c r="N42" s="202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7" t="s">
        <v>356</v>
      </c>
      <c r="C43" s="207"/>
      <c r="D43" s="207"/>
      <c r="E43" s="207"/>
      <c r="F43" s="205">
        <f>SUM(F39:H41)/100*P49</f>
        <v>66743.310682676209</v>
      </c>
      <c r="G43" s="205"/>
      <c r="H43" s="206"/>
      <c r="I43" s="186"/>
      <c r="J43" s="187"/>
      <c r="K43" s="203"/>
      <c r="L43" s="204"/>
      <c r="M43" s="203"/>
      <c r="N43" s="204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7" t="s">
        <v>358</v>
      </c>
      <c r="C44" s="207"/>
      <c r="D44" s="207"/>
      <c r="E44" s="207"/>
      <c r="F44" s="205">
        <f>SUM(F39:H41)/100*P50</f>
        <v>364905.01634921099</v>
      </c>
      <c r="G44" s="205"/>
      <c r="H44" s="206"/>
      <c r="I44" s="186"/>
      <c r="J44" s="187"/>
      <c r="K44" s="203"/>
      <c r="L44" s="204"/>
      <c r="M44" s="203"/>
      <c r="N44" s="204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8" t="s">
        <v>357</v>
      </c>
      <c r="C45" s="208"/>
      <c r="D45" s="208"/>
      <c r="E45" s="208"/>
      <c r="F45" s="205">
        <f>SUM(F39:H41)/100*P51</f>
        <v>208962.70167006101</v>
      </c>
      <c r="G45" s="205"/>
      <c r="H45" s="206"/>
      <c r="I45" s="186"/>
      <c r="J45" s="187"/>
      <c r="K45" s="203"/>
      <c r="L45" s="204"/>
      <c r="M45" s="203"/>
      <c r="N45" s="204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9" t="s">
        <v>81</v>
      </c>
      <c r="B46" s="209"/>
      <c r="C46" s="209"/>
      <c r="D46" s="209"/>
      <c r="E46" s="209"/>
      <c r="F46" s="200">
        <f>SUM(F39:H45)</f>
        <v>3759457.3222849481</v>
      </c>
      <c r="G46" s="200"/>
      <c r="H46" s="200"/>
      <c r="I46" s="200"/>
      <c r="J46" s="200"/>
      <c r="K46" s="199">
        <f>SUM(K39:L45)</f>
        <v>4022619.3348448952</v>
      </c>
      <c r="L46" s="199"/>
      <c r="M46" s="199">
        <f>SUM(M39:N45)</f>
        <v>4827143.2018138738</v>
      </c>
      <c r="N46" s="199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66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8" t="s">
        <v>342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8" t="s">
        <v>345</v>
      </c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7" t="s">
        <v>343</v>
      </c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7" t="s">
        <v>344</v>
      </c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62AA13C-F1AF-4692-B849-4ED34B779053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2024-04-22T14:10:37Z</dcterms:modified>
</cp:coreProperties>
</file>