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1-08-03-0-0804 -\"/>
    </mc:Choice>
  </mc:AlternateContent>
  <xr:revisionPtr revIDLastSave="0" documentId="13_ncr:1_{A2F1AA76-5338-41B7-AF74-0A19E83EED26}" xr6:coauthVersionLast="36" xr6:coauthVersionMax="36" xr10:uidLastSave="{00000000-0000-0000-0000-000000000000}"/>
  <bookViews>
    <workbookView xWindow="0" yWindow="0" windowWidth="28800" windowHeight="12225" tabRatio="488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C160" i="5" s="1"/>
  <c r="L160" i="5" s="1"/>
  <c r="N159" i="5"/>
  <c r="H159" i="5"/>
  <c r="E159" i="5"/>
  <c r="P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59" i="5" l="1"/>
  <c r="L159" i="5" s="1"/>
  <c r="P160" i="5"/>
  <c r="C83" i="5"/>
  <c r="L83" i="5" s="1"/>
  <c r="C186" i="5"/>
  <c r="L186" i="5" s="1"/>
  <c r="P145" i="5"/>
  <c r="C98" i="5"/>
  <c r="L98" i="5" s="1"/>
  <c r="C152" i="5"/>
  <c r="L152" i="5" s="1"/>
  <c r="C174" i="5"/>
  <c r="L174" i="5" s="1"/>
  <c r="I174" i="5" s="1"/>
  <c r="J174" i="5" s="1"/>
  <c r="C116" i="5"/>
  <c r="L116" i="5" s="1"/>
  <c r="C167" i="5"/>
  <c r="L167" i="5" s="1"/>
  <c r="I167" i="5" s="1"/>
  <c r="J167" i="5" s="1"/>
  <c r="P4" i="5"/>
  <c r="P148" i="5"/>
  <c r="I148" i="5" s="1"/>
  <c r="J148" i="5" s="1"/>
  <c r="I54" i="5"/>
  <c r="J54" i="5" s="1"/>
  <c r="I83" i="5"/>
  <c r="J83" i="5" s="1"/>
  <c r="C3" i="5"/>
  <c r="L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291" i="5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<sst xmlns="http://schemas.openxmlformats.org/spreadsheetml/2006/main" count="405" uniqueCount="365">
  <si>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</si>
  <si>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</si>
  <si>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</si>
  <si>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</si>
  <si>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</si>
  <si>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</si>
  <si>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</si>
  <si>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</si>
  <si>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</si>
  <si>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</si>
  <si>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</si>
  <si>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</si>
  <si>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</si>
  <si>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</si>
  <si>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</si>
  <si>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</si>
  <si>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</si>
  <si>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</si>
  <si>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</si>
  <si>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</si>
  <si>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</si>
  <si>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</si>
  <si>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</si>
  <si>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</si>
  <si>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</si>
  <si>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</si>
  <si>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</si>
  <si>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</si>
  <si>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</si>
  <si>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</si>
  <si>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</si>
  <si>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</si>
  <si>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</si>
  <si>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</si>
  <si>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</si>
  <si>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</si>
  <si>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</si>
  <si>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</si>
  <si>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</si>
  <si>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</si>
  <si>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</si>
  <si>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</si>
  <si>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</si>
  <si>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</si>
  <si>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</si>
  <si>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</si>
  <si>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</si>
  <si>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</si>
  <si>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</si>
  <si>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</si>
  <si>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</si>
  <si>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</si>
  <si>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</si>
  <si>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</si>
  <si>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</si>
  <si>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</si>
  <si>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</si>
  <si>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</si>
  <si>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</si>
  <si>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</si>
  <si>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</si>
  <si>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</si>
  <si>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</si>
  <si>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</si>
  <si>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</si>
  <si>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</si>
  <si>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</si>
  <si>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</si>
  <si>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</si>
  <si>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</si>
  <si>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</si>
  <si>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</si>
  <si>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</si>
  <si>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</si>
  <si>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</si>
  <si>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</si>
  <si>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</si>
  <si>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</si>
  <si>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</si>
  <si>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</si>
  <si>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</si>
  <si>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</si>
  <si>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</si>
  <si>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</si>
  <si>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</si>
  <si>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</si>
  <si>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</si>
  <si>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</si>
  <si>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</si>
  <si>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</si>
  <si>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</si>
  <si>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</si>
  <si>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</si>
  <si>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</si>
  <si>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</si>
  <si>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</si>
  <si>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</si>
  <si>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</si>
  <si>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</si>
  <si>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</si>
  <si>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</si>
  <si>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</si>
  <si>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</si>
  <si>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</si>
  <si>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</si>
  <si>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</si>
  <si>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</si>
  <si>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</si>
  <si>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</si>
  <si>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</si>
  <si>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</si>
  <si>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</si>
  <si>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</si>
  <si>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</si>
  <si>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</si>
  <si>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</si>
  <si>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</si>
  <si>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</si>
  <si>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</si>
  <si>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</si>
  <si>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</si>
  <si>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</si>
  <si>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</si>
  <si>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</si>
  <si>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</si>
  <si>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</si>
  <si>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</si>
  <si>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</si>
  <si>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</si>
  <si>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</si>
  <si>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</si>
  <si>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</si>
  <si>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</si>
  <si>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</si>
  <si>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</si>
  <si>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</si>
  <si>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</si>
  <si>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</si>
  <si>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</si>
  <si>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</si>
  <si>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</si>
  <si>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</si>
  <si>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</si>
  <si>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</si>
  <si>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</si>
  <si>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</si>
  <si>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</si>
  <si>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</si>
  <si>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</si>
  <si>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</si>
  <si>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</si>
  <si>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</si>
  <si>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</si>
  <si>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</si>
  <si>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</si>
  <si>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</si>
  <si>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</si>
  <si>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</si>
  <si>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</si>
  <si>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</si>
  <si>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</si>
  <si>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</si>
  <si>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</si>
  <si>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</si>
  <si>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</si>
  <si>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</si>
  <si>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</si>
  <si>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</si>
  <si>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</si>
  <si>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</si>
  <si>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</si>
  <si>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</si>
  <si>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</si>
  <si>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</si>
  <si>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</si>
  <si>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</si>
  <si>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</si>
  <si>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</si>
  <si>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</si>
  <si>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</si>
  <si>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</si>
  <si>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</si>
  <si>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</si>
  <si>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</si>
  <si>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</si>
  <si>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</si>
  <si>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</si>
  <si>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</si>
  <si>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</si>
  <si>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</si>
  <si>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</si>
  <si>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</si>
  <si>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</si>
  <si>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</si>
  <si>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</si>
  <si>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</si>
  <si>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</si>
  <si>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</si>
  <si>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</si>
  <si>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</si>
  <si>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</si>
  <si>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</si>
  <si>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</si>
  <si>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</si>
  <si>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</si>
  <si>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</si>
  <si>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</si>
  <si>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</si>
  <si>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</si>
  <si>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</si>
  <si>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</si>
  <si>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</si>
  <si>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</si>
  <si>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</si>
  <si>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</si>
  <si>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</si>
  <si>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</si>
  <si>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</si>
  <si>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</si>
  <si>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</si>
  <si>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</si>
  <si>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</si>
  <si>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</si>
  <si>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</si>
  <si>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</si>
  <si>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</si>
  <si>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</si>
  <si>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</si>
  <si>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</si>
  <si>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</si>
  <si>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</si>
  <si>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</si>
  <si>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</si>
  <si>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</si>
  <si>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</si>
  <si>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</si>
  <si>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</si>
  <si>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</si>
  <si>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</si>
  <si>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</si>
  <si>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</si>
  <si>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</si>
  <si>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</si>
  <si>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</si>
  <si>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</si>
  <si>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</si>
  <si>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</si>
  <si>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</si>
  <si>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</si>
  <si>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</si>
  <si>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</si>
  <si>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</si>
  <si>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</si>
  <si>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</si>
  <si>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</si>
  <si>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</si>
  <si>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</si>
  <si>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</si>
  <si>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</si>
  <si>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</si>
  <si>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</si>
  <si>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</si>
  <si>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</si>
  <si>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</si>
  <si>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</si>
  <si>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</si>
  <si>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</si>
  <si>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</si>
  <si>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</si>
  <si>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</si>
  <si>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</si>
  <si>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</si>
  <si>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</si>
  <si>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</si>
  <si>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</si>
  <si>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</si>
  <si>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</si>
  <si>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</si>
  <si>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</si>
  <si>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</si>
  <si>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</si>
  <si>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</si>
  <si>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</si>
  <si>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</si>
  <si>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</si>
  <si>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</si>
  <si>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</si>
  <si>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</si>
  <si>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</si>
  <si>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</si>
  <si>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</si>
  <si>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</si>
  <si>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</si>
  <si>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</si>
  <si>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</si>
  <si>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</si>
  <si>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</si>
  <si>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</si>
  <si>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</si>
  <si>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</si>
  <si>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</si>
  <si>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</si>
  <si>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</si>
  <si>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</si>
  <si>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</si>
  <si>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</si>
  <si>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</si>
  <si>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</si>
  <si>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</si>
  <si>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</si>
  <si>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</si>
  <si>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</si>
  <si>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</si>
  <si>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</si>
  <si>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</si>
  <si>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</si>
  <si>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</si>
  <si>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</si>
  <si>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</si>
  <si>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</si>
  <si>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</si>
  <si>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</si>
  <si>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</si>
  <si>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</si>
  <si>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</si>
  <si>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</si>
  <si>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</si>
  <si>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</si>
  <si>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</si>
  <si>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</si>
  <si>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</si>
  <si>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</si>
  <si>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</si>
  <si>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</si>
  <si>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</si>
  <si>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</si>
  <si>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</si>
  <si>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</si>
  <si>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</si>
  <si>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</si>
  <si>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</si>
  <si>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</si>
  <si>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</si>
  <si>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</si>
  <si>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</si>
  <si>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</si>
  <si>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</si>
  <si>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</si>
  <si>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</si>
  <si>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</si>
  <si>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</si>
  <si>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</si>
  <si>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</si>
  <si>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</si>
  <si>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</si>
  <si>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</si>
  <si>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</si>
  <si>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</si>
  <si>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</si>
  <si>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</si>
  <si>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</si>
  <si>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</si>
  <si>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</si>
  <si>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Строительство 2КЛ-0,4 кВ - 0,6 км по договору ТП №17-308/005-ПС-15 (МКУ "Единая служба заказчика") г. Сертолово</t>
  </si>
  <si>
    <t>O_23-1-17-1-08-03-0-0804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</si>
</sst>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L14" sqref="L14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1.42578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5" t="s">
        <v>363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</row>
    <row r="6" spans="1:22" ht="10.5" customHeight="1" x14ac:dyDescent="0.25"/>
    <row r="7" spans="1:22" ht="13.5" customHeight="1" x14ac:dyDescent="0.25">
      <c r="A7" s="6" t="s">
        <v>5</v>
      </c>
      <c r="H7" s="190" t="s">
        <v>364</v>
      </c>
      <c r="I7" s="190"/>
      <c r="J7" s="190"/>
      <c r="K7" s="190"/>
      <c r="L7" s="190"/>
      <c r="M7" s="190"/>
      <c r="N7" s="190"/>
      <c r="O7" s="190"/>
      <c r="P7" s="190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7" t="s">
        <v>6</v>
      </c>
      <c r="B13" s="187" t="s">
        <v>9</v>
      </c>
      <c r="C13" s="187" t="s">
        <v>334</v>
      </c>
      <c r="D13" s="187" t="s">
        <v>349</v>
      </c>
      <c r="E13" s="187"/>
      <c r="F13" s="187"/>
      <c r="G13" s="187"/>
      <c r="H13" s="187" t="s">
        <v>335</v>
      </c>
      <c r="I13" s="187" t="s">
        <v>348</v>
      </c>
      <c r="J13" s="187" t="s">
        <v>7</v>
      </c>
      <c r="K13" s="188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4" t="s">
        <v>337</v>
      </c>
      <c r="Q13" s="24"/>
    </row>
    <row r="14" spans="1:22" ht="38.25" customHeight="1" x14ac:dyDescent="0.25">
      <c r="A14" s="187"/>
      <c r="B14" s="187"/>
      <c r="C14" s="187"/>
      <c r="D14" s="136" t="s">
        <v>89</v>
      </c>
      <c r="E14" s="136" t="s">
        <v>91</v>
      </c>
      <c r="F14" s="136" t="s">
        <v>93</v>
      </c>
      <c r="G14" s="136" t="s">
        <v>318</v>
      </c>
      <c r="H14" s="187"/>
      <c r="I14" s="187"/>
      <c r="J14" s="187"/>
      <c r="K14" s="188"/>
      <c r="L14" s="136" t="s">
        <v>1</v>
      </c>
      <c r="M14" s="136" t="s">
        <v>317</v>
      </c>
      <c r="N14" s="136" t="s">
        <v>2</v>
      </c>
      <c r="O14" s="136" t="s">
        <v>3</v>
      </c>
      <c r="P14" s="184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185</v>
      </c>
      <c r="C16" s="37">
        <f>VLOOKUP($B$16:$B$29,'Наименование работ'!B:G,6,)</f>
        <v>1235355.8600000001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8077572.9096000008</v>
      </c>
      <c r="I16" s="36">
        <f>VLOOKUP($B$16:$B$29,'Наименование работ'!B:R,17,)</f>
        <v>0</v>
      </c>
      <c r="J16" s="38" t="s">
        <v>353</v>
      </c>
      <c r="K16" s="149">
        <v>0.3</v>
      </c>
      <c r="L16" s="33">
        <f>(N16+O16)*0.04</f>
        <v>96930.874915200009</v>
      </c>
      <c r="M16" s="33">
        <f>147300*K16</f>
        <v>44190</v>
      </c>
      <c r="N16" s="34">
        <f>K16*H16</f>
        <v>2423271.8728800002</v>
      </c>
      <c r="O16" s="34">
        <f>K16*I16</f>
        <v>0</v>
      </c>
      <c r="P16" s="34">
        <f t="shared" ref="P16" si="0">SUM(L16:O16)</f>
        <v>2564392.7477952</v>
      </c>
      <c r="Q16" s="25"/>
      <c r="R16" s="25"/>
      <c r="S16" s="25"/>
      <c r="T16" s="25"/>
      <c r="U16" s="20"/>
      <c r="V16" s="17"/>
    </row>
    <row r="17" spans="1:22" ht="24" hidden="1" customHeight="1" x14ac:dyDescent="0.25">
      <c r="A17" s="10"/>
      <c r="B17" s="40" t="s">
        <v>330</v>
      </c>
      <c r="C17" s="37">
        <f>VLOOKUP($B$16:$B$29,'Наименование работ'!B:G,6,)</f>
        <v>0</v>
      </c>
      <c r="D17" s="37">
        <f>VLOOKUP($B$16:$B$29,'Наименование работ'!B:K,10,)</f>
        <v>0</v>
      </c>
      <c r="E17" s="37">
        <f>VLOOKUP($B$16:$B$29,'Наименование работ'!B:M,12,)</f>
        <v>0</v>
      </c>
      <c r="F17" s="37">
        <f>VLOOKUP($B$16:$B$29,'Наименование работ'!B:O,14,)</f>
        <v>0</v>
      </c>
      <c r="G17" s="37">
        <f>VLOOKUP($B$16:$B$29,'Наименование работ'!B:Q,16,)</f>
        <v>0</v>
      </c>
      <c r="H17" s="36">
        <f>VLOOKUP(B17:B30,'Наименование работ'!B:S,18,)</f>
        <v>0</v>
      </c>
      <c r="I17" s="36">
        <f>VLOOKUP($B$16:$B$29,'Наименование работ'!B:R,17,)</f>
        <v>0</v>
      </c>
      <c r="J17" s="38" t="s">
        <v>352</v>
      </c>
      <c r="K17" s="149">
        <v>1</v>
      </c>
      <c r="L17" s="33">
        <f>(N17+O17)*0.04</f>
        <v>0</v>
      </c>
      <c r="M17" s="33">
        <f t="shared" ref="M17:M29" si="1">147300*K17</f>
        <v>147300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147300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49">
        <v>4.2999999999999997E-2</v>
      </c>
      <c r="L18" s="33">
        <f t="shared" ref="L18:L29" si="5">(N18+O18)*0.08</f>
        <v>0</v>
      </c>
      <c r="M18" s="33">
        <f t="shared" si="1"/>
        <v>6333.9</v>
      </c>
      <c r="N18" s="34">
        <f t="shared" si="2"/>
        <v>0</v>
      </c>
      <c r="O18" s="34">
        <f t="shared" si="3"/>
        <v>0</v>
      </c>
      <c r="P18" s="34">
        <f t="shared" ref="P18" si="6">SUM(L18:O18)</f>
        <v>6333.9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1.5860000000000001</v>
      </c>
      <c r="L19" s="33">
        <f>(N19+O19)*0.04</f>
        <v>0</v>
      </c>
      <c r="M19" s="33">
        <f t="shared" si="1"/>
        <v>233617.80000000002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233617.80000000002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0.60599999999999998</v>
      </c>
      <c r="L20" s="33">
        <f>(N20+O20)*0.04</f>
        <v>0</v>
      </c>
      <c r="M20" s="33">
        <f t="shared" si="1"/>
        <v>89263.8</v>
      </c>
      <c r="N20" s="34">
        <f t="shared" si="2"/>
        <v>0</v>
      </c>
      <c r="O20" s="34">
        <f t="shared" si="3"/>
        <v>0</v>
      </c>
      <c r="P20" s="34">
        <f t="shared" si="7"/>
        <v>89263.8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7" t="s">
        <v>317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9"/>
      <c r="P30" s="34">
        <f>SUM(M16:M29)</f>
        <v>520705.5</v>
      </c>
    </row>
    <row r="31" spans="1:22" ht="16.5" customHeight="1" x14ac:dyDescent="0.25">
      <c r="A31" s="141"/>
      <c r="B31" s="177" t="s">
        <v>2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9"/>
      <c r="P31" s="35">
        <f>SUM(N16:N29)</f>
        <v>2423271.8728800002</v>
      </c>
    </row>
    <row r="32" spans="1:22" ht="16.5" customHeight="1" x14ac:dyDescent="0.25">
      <c r="A32" s="141"/>
      <c r="B32" s="177" t="s">
        <v>3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9"/>
      <c r="P32" s="35">
        <f>SUM(O16:O29)</f>
        <v>0</v>
      </c>
    </row>
    <row r="33" spans="1:21" ht="16.5" customHeight="1" x14ac:dyDescent="0.25">
      <c r="A33" s="141"/>
      <c r="B33" s="177" t="s">
        <v>346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9"/>
      <c r="P33" s="35">
        <f>SUM(L16:L29)</f>
        <v>96930.874915200009</v>
      </c>
      <c r="Q33" s="32"/>
      <c r="R33" s="32"/>
    </row>
    <row r="34" spans="1:21" ht="16.5" customHeight="1" x14ac:dyDescent="0.25">
      <c r="A34" s="141"/>
      <c r="B34" s="192" t="s">
        <v>12</v>
      </c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4"/>
      <c r="P34" s="34">
        <f>SUM(P30:P33)</f>
        <v>3040908.2477952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7" t="s">
        <v>0</v>
      </c>
      <c r="C38" s="187"/>
      <c r="D38" s="187"/>
      <c r="E38" s="187"/>
      <c r="F38" s="195" t="s">
        <v>337</v>
      </c>
      <c r="G38" s="195"/>
      <c r="H38" s="196"/>
      <c r="I38" s="199" t="s">
        <v>354</v>
      </c>
      <c r="J38" s="200"/>
      <c r="K38" s="188" t="s">
        <v>338</v>
      </c>
      <c r="L38" s="188"/>
      <c r="M38" s="188" t="s">
        <v>339</v>
      </c>
      <c r="N38" s="188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5" t="s">
        <v>319</v>
      </c>
      <c r="C39" s="165"/>
      <c r="D39" s="165"/>
      <c r="E39" s="165"/>
      <c r="F39" s="197">
        <f>P33+P30</f>
        <v>617636.37491520005</v>
      </c>
      <c r="G39" s="197"/>
      <c r="H39" s="198"/>
      <c r="I39" s="201">
        <f>VLOOKUP(H9,O39:P46,2,)</f>
        <v>1.0527260918901</v>
      </c>
      <c r="J39" s="202"/>
      <c r="K39" s="182">
        <f>F39*$I$39</f>
        <v>650201.92717364721</v>
      </c>
      <c r="L39" s="182"/>
      <c r="M39" s="182">
        <f>K39*1.2</f>
        <v>780242.31260837661</v>
      </c>
      <c r="N39" s="182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5" t="s">
        <v>2</v>
      </c>
      <c r="C40" s="165"/>
      <c r="D40" s="165"/>
      <c r="E40" s="165"/>
      <c r="F40" s="180">
        <f>P31</f>
        <v>2423271.8728800002</v>
      </c>
      <c r="G40" s="180"/>
      <c r="H40" s="181"/>
      <c r="I40" s="203"/>
      <c r="J40" s="204"/>
      <c r="K40" s="182">
        <f t="shared" ref="K40:K41" si="11">F40*$I$39</f>
        <v>2551041.5283241658</v>
      </c>
      <c r="L40" s="182"/>
      <c r="M40" s="182">
        <f>K40*1.2</f>
        <v>3061249.833988999</v>
      </c>
      <c r="N40" s="182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5" t="s">
        <v>3</v>
      </c>
      <c r="C41" s="165"/>
      <c r="D41" s="165"/>
      <c r="E41" s="165"/>
      <c r="F41" s="180">
        <f>P32</f>
        <v>0</v>
      </c>
      <c r="G41" s="180"/>
      <c r="H41" s="181"/>
      <c r="I41" s="203"/>
      <c r="J41" s="204"/>
      <c r="K41" s="182">
        <f t="shared" si="11"/>
        <v>0</v>
      </c>
      <c r="L41" s="182"/>
      <c r="M41" s="183">
        <f t="shared" ref="M41" si="12">K41*1.2</f>
        <v>0</v>
      </c>
      <c r="N41" s="183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5" t="s">
        <v>4</v>
      </c>
      <c r="C42" s="165"/>
      <c r="D42" s="165"/>
      <c r="E42" s="165"/>
      <c r="F42" s="180"/>
      <c r="G42" s="180"/>
      <c r="H42" s="181"/>
      <c r="I42" s="203"/>
      <c r="J42" s="204"/>
      <c r="K42" s="166">
        <f>SUM(F43:H45)*$I$39</f>
        <v>657535.40575925075</v>
      </c>
      <c r="L42" s="167"/>
      <c r="M42" s="166">
        <f>K42*1.2</f>
        <v>789042.48691110092</v>
      </c>
      <c r="N42" s="167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2" t="s">
        <v>356</v>
      </c>
      <c r="C43" s="172"/>
      <c r="D43" s="172"/>
      <c r="E43" s="172"/>
      <c r="F43" s="170">
        <f>SUM(F39:H41)/100*P49</f>
        <v>65075.436502817283</v>
      </c>
      <c r="G43" s="170"/>
      <c r="H43" s="171"/>
      <c r="I43" s="203"/>
      <c r="J43" s="204"/>
      <c r="K43" s="168"/>
      <c r="L43" s="169"/>
      <c r="M43" s="168"/>
      <c r="N43" s="169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2" t="s">
        <v>358</v>
      </c>
      <c r="C44" s="172"/>
      <c r="D44" s="172"/>
      <c r="E44" s="172"/>
      <c r="F44" s="170">
        <f>SUM(F39:H41)/100*P50</f>
        <v>355786.26499203837</v>
      </c>
      <c r="G44" s="170"/>
      <c r="H44" s="171"/>
      <c r="I44" s="203"/>
      <c r="J44" s="204"/>
      <c r="K44" s="168"/>
      <c r="L44" s="169"/>
      <c r="M44" s="168"/>
      <c r="N44" s="169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3" t="s">
        <v>357</v>
      </c>
      <c r="C45" s="173"/>
      <c r="D45" s="173"/>
      <c r="E45" s="173"/>
      <c r="F45" s="170">
        <f>SUM(F39:H41)/100*P51</f>
        <v>203740.85260227841</v>
      </c>
      <c r="G45" s="170"/>
      <c r="H45" s="171"/>
      <c r="I45" s="203"/>
      <c r="J45" s="204"/>
      <c r="K45" s="168"/>
      <c r="L45" s="169"/>
      <c r="M45" s="168"/>
      <c r="N45" s="169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4" t="s">
        <v>81</v>
      </c>
      <c r="B46" s="174"/>
      <c r="C46" s="174"/>
      <c r="D46" s="174"/>
      <c r="E46" s="174"/>
      <c r="F46" s="164">
        <f>SUM(F39:H45)</f>
        <v>3665510.8018923337</v>
      </c>
      <c r="G46" s="164"/>
      <c r="H46" s="164"/>
      <c r="I46" s="164"/>
      <c r="J46" s="164"/>
      <c r="K46" s="163">
        <f>SUM(K39:L45)</f>
        <v>3858778.8612570637</v>
      </c>
      <c r="L46" s="163"/>
      <c r="M46" s="163">
        <f>SUM(M39:N45)</f>
        <v>4630534.6335084764</v>
      </c>
      <c r="N46" s="163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6" t="s">
        <v>342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6" t="s">
        <v>345</v>
      </c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5" t="s">
        <v>343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5" t="s">
        <v>344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07" sqref="B107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Реконструкция КЛ-0,4  (АПВБбШп 4х240-1кВ)"/>
        <filter val="Реконструкция КЛ-0,4 два кабеля в траншее (АПВБбШп 4х240-1кВ)"/>
        <filter val="Строительство 100 м КЛ-0,4  (АПВБбШп 4х240-1кВ)"/>
        <filter val="Строительство 100 мКЛ-0,4 два кабеля в траншее (АПВБбШп 4х240-1кВ)"/>
        <filter val="Строительство КЛ-0,4  (АПВБбШп 4х240-1кВ)"/>
        <filter val="Строительство КЛ-0,4 два кабеля в траншее (АПВБбШп 4х240-1кВ)"/>
        <filter val="Строительство КЛ-0,4 четыре кабеля в траншее (АПВБШп 4х240-1кВ)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2024-03-15T12:21:50Z</dcterms:modified>
</cp:coreProperties>
</file>