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1-08-03-0-0532\"/>
    </mc:Choice>
  </mc:AlternateContent>
  <xr:revisionPtr revIDLastSave="0" documentId="13_ncr:1_{C6BE0DC2-8C3A-4559-9E1B-F691254E86BE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4" l="1"/>
  <c r="M19" i="4"/>
  <c r="M18" i="4"/>
  <c r="M17" i="4"/>
  <c r="M16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<sst xmlns="http://schemas.openxmlformats.org/spreadsheetml/2006/main" count="405" uniqueCount="366">
  <si>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</si>
  <si>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</si>
  <si>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</si>
  <si>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</si>
  <si>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</si>
  <si>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</si>
  <si>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</si>
  <si>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</si>
  <si>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</si>
  <si>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</si>
  <si>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</si>
  <si>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</si>
  <si>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</si>
  <si>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</si>
  <si>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</si>
  <si>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</si>
  <si>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</si>
  <si>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</si>
  <si>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</si>
  <si>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</si>
  <si>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</si>
  <si>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</si>
  <si>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</si>
  <si>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</si>
  <si>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</si>
  <si>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</si>
  <si>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</si>
  <si>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</si>
  <si>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</si>
  <si>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</si>
  <si>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</si>
  <si>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</si>
  <si>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</si>
  <si>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</si>
  <si>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</si>
  <si>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</si>
  <si>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</si>
  <si>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</si>
  <si>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</si>
  <si>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</si>
  <si>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</si>
  <si>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</si>
  <si>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</si>
  <si>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</si>
  <si>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</si>
  <si>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</si>
  <si>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</si>
  <si>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</si>
  <si>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</si>
  <si>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</si>
  <si>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</si>
  <si>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</si>
  <si>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</si>
  <si>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</si>
  <si>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</si>
  <si>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</si>
  <si>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</si>
  <si>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</si>
  <si>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</si>
  <si>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</si>
  <si>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</si>
  <si>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</si>
  <si>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</si>
  <si>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</si>
  <si>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</si>
  <si>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</si>
  <si>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</si>
  <si>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</si>
  <si>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</si>
  <si>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</si>
  <si>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</si>
  <si>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</si>
  <si>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</si>
  <si>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</si>
  <si>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</si>
  <si>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</si>
  <si>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</si>
  <si>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</si>
  <si>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</si>
  <si>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</si>
  <si>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</si>
  <si>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</si>
  <si>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</si>
  <si>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</si>
  <si>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</si>
  <si>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</si>
  <si>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</si>
  <si>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</si>
  <si>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</si>
  <si>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</si>
  <si>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</si>
  <si>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</si>
  <si>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</si>
  <si>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</si>
  <si>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</si>
  <si>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</si>
  <si>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</si>
  <si>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</si>
  <si>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</si>
  <si>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</si>
  <si>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</si>
  <si>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</si>
  <si>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</si>
  <si>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</si>
  <si>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</si>
  <si>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</si>
  <si>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</si>
  <si>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</si>
  <si>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</si>
  <si>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</si>
  <si>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</si>
  <si>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</si>
  <si>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</si>
  <si>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</si>
  <si>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</si>
  <si>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</si>
  <si>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</si>
  <si>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</si>
  <si>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</si>
  <si>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</si>
  <si>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</si>
  <si>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</si>
  <si>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</si>
  <si>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</si>
  <si>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</si>
  <si>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</si>
  <si>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</si>
  <si>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</si>
  <si>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</si>
  <si>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</si>
  <si>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</si>
  <si>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</si>
  <si>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</si>
  <si>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</si>
  <si>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</si>
  <si>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</si>
  <si>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</si>
  <si>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</si>
  <si>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</si>
  <si>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</si>
  <si>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</si>
  <si>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</si>
  <si>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</si>
  <si>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</si>
  <si>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</si>
  <si>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</si>
  <si>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</si>
  <si>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</si>
  <si>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</si>
  <si>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</si>
  <si>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</si>
  <si>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</si>
  <si>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</si>
  <si>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</si>
  <si>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</si>
  <si>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</si>
  <si>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</si>
  <si>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</si>
  <si>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</si>
  <si>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</si>
  <si>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</si>
  <si>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</si>
  <si>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</si>
  <si>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</si>
  <si>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</si>
  <si>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</si>
  <si>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</si>
  <si>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</si>
  <si>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</si>
  <si>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</si>
  <si>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</si>
  <si>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</si>
  <si>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</si>
  <si>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</si>
  <si>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</si>
  <si>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</si>
  <si>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</si>
  <si>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</si>
  <si>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</si>
  <si>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</si>
  <si>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</si>
  <si>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</si>
  <si>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</si>
  <si>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</si>
  <si>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</si>
  <si>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</si>
  <si>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</si>
  <si>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</si>
  <si>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</si>
  <si>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</si>
  <si>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</si>
  <si>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</si>
  <si>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</si>
  <si>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</si>
  <si>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</si>
  <si>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</si>
  <si>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</si>
  <si>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</si>
  <si>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</si>
  <si>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</si>
  <si>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</si>
  <si>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</si>
  <si>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</si>
  <si>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</si>
  <si>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</si>
  <si>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</si>
  <si>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</si>
  <si>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</si>
  <si>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</si>
  <si>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</si>
  <si>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</si>
  <si>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</si>
  <si>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</si>
  <si>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</si>
  <si>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</si>
  <si>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</si>
  <si>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</si>
  <si>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</si>
  <si>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</si>
  <si>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</si>
  <si>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</si>
  <si>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</si>
  <si>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</si>
  <si>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</si>
  <si>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</si>
  <si>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</si>
  <si>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</si>
  <si>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</si>
  <si>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</si>
  <si>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</si>
  <si>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</si>
  <si>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</si>
  <si>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</si>
  <si>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</si>
  <si>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</si>
  <si>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</si>
  <si>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</si>
  <si>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</si>
  <si>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</si>
  <si>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</si>
  <si>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</si>
  <si>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</si>
  <si>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</si>
  <si>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</si>
  <si>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</si>
  <si>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</si>
  <si>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</si>
  <si>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</si>
  <si>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</si>
  <si>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</si>
  <si>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</si>
  <si>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</si>
  <si>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</si>
  <si>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</si>
  <si>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</si>
  <si>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</si>
  <si>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</si>
  <si>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</si>
  <si>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</si>
  <si>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</si>
  <si>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</si>
  <si>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</si>
  <si>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</si>
  <si>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</si>
  <si>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</si>
  <si>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</si>
  <si>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</si>
  <si>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</si>
  <si>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</si>
  <si>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</si>
  <si>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</si>
  <si>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</si>
  <si>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</si>
  <si>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</si>
  <si>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</si>
  <si>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</si>
  <si>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</si>
  <si>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</si>
  <si>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</si>
  <si>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</si>
  <si>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</si>
  <si>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</si>
  <si>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</si>
  <si>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</si>
  <si>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</si>
  <si>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</si>
  <si>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</si>
  <si>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</si>
  <si>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</si>
  <si>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</si>
  <si>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</si>
  <si>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</si>
  <si>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</si>
  <si>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</si>
  <si>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</si>
  <si>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</si>
  <si>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</si>
  <si>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</si>
  <si>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</si>
  <si>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</si>
  <si>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</si>
  <si>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</si>
  <si>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</si>
  <si>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</si>
  <si>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</si>
  <si>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</si>
  <si>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</si>
  <si>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</si>
  <si>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</si>
  <si>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</si>
  <si>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</si>
  <si>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</si>
  <si>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</si>
  <si>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</si>
  <si>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</si>
  <si>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</si>
  <si>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</si>
  <si>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</si>
  <si>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</si>
  <si>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</si>
  <si>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</si>
  <si>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</si>
  <si>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</si>
  <si>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</si>
  <si>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</si>
  <si>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</si>
  <si>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</si>
  <si>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</si>
  <si>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</si>
  <si>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</si>
  <si>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</si>
  <si>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</si>
  <si>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</si>
  <si>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</si>
  <si>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</si>
  <si>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</si>
  <si>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</si>
  <si>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</si>
  <si>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</si>
  <si>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</si>
  <si>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</si>
  <si>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</si>
  <si>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</si>
  <si>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</si>
  <si>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</si>
  <si>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</si>
  <si>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</si>
  <si>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</si>
  <si>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</si>
  <si>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</si>
  <si>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</si>
  <si>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</si>
  <si>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</si>
  <si>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</si>
  <si>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</si>
  <si>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</si>
  <si>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</si>
  <si>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</si>
  <si>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</si>
  <si>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</si>
  <si>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</si>
  <si>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</si>
  <si>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</si>
  <si>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ТП мощностью 1 МВА, ЛЭП-10 кВ протяженностью 0,35 км по договору ТП № 10-011/005-ПС-23 в г. п. Красный Бор ЛО</t>
  </si>
  <si>
    <t>шт</t>
  </si>
  <si>
    <t>O_23-1-10-1-08-03-0-0532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</si>
</sst>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8" fillId="0" borderId="3" xfId="0" quotePrefix="1" applyNumberFormat="1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T33" sqref="T33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0" t="s">
        <v>363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H7" s="163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77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4" t="s">
        <v>15</v>
      </c>
      <c r="C16" s="37">
        <f>VLOOKUP($B$16:$B$29,'Наименование работ'!B:G,6,)</f>
        <v>366791.92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3308214.8185999999</v>
      </c>
      <c r="I16" s="36">
        <f>VLOOKUP($B$16:$B$29,'Наименование работ'!B:R,17,)</f>
        <v>0</v>
      </c>
      <c r="J16" s="38" t="s">
        <v>353</v>
      </c>
      <c r="K16" s="155">
        <v>0.35</v>
      </c>
      <c r="L16" s="33">
        <f>(N16+O16)*0.08</f>
        <v>92630.014920799993</v>
      </c>
      <c r="M16" s="33">
        <f>122750*K16</f>
        <v>42962.5</v>
      </c>
      <c r="N16" s="34">
        <f>K16*H16</f>
        <v>1157875.1865099999</v>
      </c>
      <c r="O16" s="34">
        <f>K16*I16</f>
        <v>0</v>
      </c>
      <c r="P16" s="34">
        <f t="shared" ref="P16" si="0">SUM(L16:O16)</f>
        <v>1293467.7014307999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4" t="s">
        <v>58</v>
      </c>
      <c r="C17" s="37">
        <f>VLOOKUP($B$16:$B$29,'Наименование работ'!B:G,6,)</f>
        <v>17188.41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147899.9019</v>
      </c>
      <c r="I17" s="36">
        <f>VLOOKUP($B$16:$B$29,'Наименование работ'!B:R,17,)</f>
        <v>0</v>
      </c>
      <c r="J17" s="38" t="s">
        <v>364</v>
      </c>
      <c r="K17" s="155">
        <v>1</v>
      </c>
      <c r="L17" s="33">
        <f t="shared" ref="L17:L20" si="1">(N17+O17)*0.08</f>
        <v>11831.992152000001</v>
      </c>
      <c r="M17" s="33">
        <f t="shared" ref="M17:M20" si="2">122750*K17</f>
        <v>122750</v>
      </c>
      <c r="N17" s="34">
        <f t="shared" ref="N17:N29" si="3">K17*H17</f>
        <v>147899.9019</v>
      </c>
      <c r="O17" s="34">
        <f t="shared" ref="O17:O29" si="4">K17*I17</f>
        <v>0</v>
      </c>
      <c r="P17" s="34">
        <f t="shared" ref="P17" si="5">SUM(L17:O17)</f>
        <v>282481.89405200002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64" t="s">
        <v>108</v>
      </c>
      <c r="C18" s="37">
        <f>VLOOKUP($B$16:$B$29,'Наименование работ'!B:G,6,)</f>
        <v>631692.43000000005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2254033.3730000011</v>
      </c>
      <c r="I18" s="36">
        <f>VLOOKUP($B$16:$B$29,'Наименование работ'!B:R,17,)</f>
        <v>3199632.8226000001</v>
      </c>
      <c r="J18" s="38" t="s">
        <v>364</v>
      </c>
      <c r="K18" s="155">
        <v>1</v>
      </c>
      <c r="L18" s="33">
        <f t="shared" si="1"/>
        <v>436293.29564800009</v>
      </c>
      <c r="M18" s="33">
        <f t="shared" si="2"/>
        <v>122750</v>
      </c>
      <c r="N18" s="34">
        <f t="shared" si="3"/>
        <v>2254033.3730000011</v>
      </c>
      <c r="O18" s="34">
        <f t="shared" si="4"/>
        <v>3199632.8226000001</v>
      </c>
      <c r="P18" s="34">
        <f t="shared" ref="P18" si="6">SUM(L18:O18)</f>
        <v>6012709.4912480013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164" t="s">
        <v>100</v>
      </c>
      <c r="C19" s="37">
        <f>VLOOKUP($B$16:$B$29,'Наименование работ'!B:G,6,)</f>
        <v>13582.88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10.17</v>
      </c>
      <c r="F19" s="37">
        <f>VLOOKUP($B$16:$B$29,'Наименование работ'!B:O,14,)</f>
        <v>7.86</v>
      </c>
      <c r="G19" s="37">
        <f>VLOOKUP($B$16:$B$29,'Наименование работ'!B:Q,16,)</f>
        <v>6.33</v>
      </c>
      <c r="H19" s="36">
        <f>VLOOKUP(B19:B32,'Наименование работ'!B:S,18,)</f>
        <v>132369.54559999998</v>
      </c>
      <c r="I19" s="36">
        <f>VLOOKUP($B$16:$B$29,'Наименование работ'!B:R,17,)</f>
        <v>0</v>
      </c>
      <c r="J19" s="38" t="s">
        <v>364</v>
      </c>
      <c r="K19" s="155">
        <v>2</v>
      </c>
      <c r="L19" s="33">
        <f t="shared" si="1"/>
        <v>21179.127295999999</v>
      </c>
      <c r="M19" s="33">
        <f t="shared" si="2"/>
        <v>245500</v>
      </c>
      <c r="N19" s="34">
        <f t="shared" si="3"/>
        <v>264739.09119999997</v>
      </c>
      <c r="O19" s="34">
        <f t="shared" si="4"/>
        <v>0</v>
      </c>
      <c r="P19" s="34">
        <f t="shared" ref="P19:P23" si="7">SUM(L19:O19)</f>
        <v>531418.21849599993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/>
      <c r="B20" s="164" t="s">
        <v>315</v>
      </c>
      <c r="C20" s="37">
        <f>VLOOKUP($B$16:$B$29,'Наименование работ'!B:G,6,)</f>
        <v>1134380.6100000001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13128032.572800003</v>
      </c>
      <c r="I20" s="36">
        <f>VLOOKUP($B$16:$B$29,'Наименование работ'!B:R,17,)</f>
        <v>0</v>
      </c>
      <c r="J20" s="38" t="s">
        <v>353</v>
      </c>
      <c r="K20" s="155">
        <v>0.05</v>
      </c>
      <c r="L20" s="33">
        <f t="shared" si="1"/>
        <v>52512.130291200017</v>
      </c>
      <c r="M20" s="33">
        <f t="shared" si="2"/>
        <v>6137.5</v>
      </c>
      <c r="N20" s="34">
        <f t="shared" si="3"/>
        <v>656401.62864000024</v>
      </c>
      <c r="O20" s="34">
        <f t="shared" si="4"/>
        <v>0</v>
      </c>
      <c r="P20" s="34">
        <f t="shared" si="7"/>
        <v>715051.25893120025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540100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4480949.1812500013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3199632.8226000001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614446.56030800007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8835128.5641580019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1154546.5603080001</v>
      </c>
      <c r="G39" s="176"/>
      <c r="H39" s="177"/>
      <c r="I39" s="182">
        <v>1.048</v>
      </c>
      <c r="J39" s="183"/>
      <c r="K39" s="171">
        <f>F39*$I$39</f>
        <v>1209964.7952027842</v>
      </c>
      <c r="L39" s="171"/>
      <c r="M39" s="171">
        <f>K39*1.2</f>
        <v>1451957.754243341</v>
      </c>
      <c r="N39" s="171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4480949.1812500013</v>
      </c>
      <c r="G40" s="178"/>
      <c r="H40" s="179"/>
      <c r="I40" s="184"/>
      <c r="J40" s="185"/>
      <c r="K40" s="171">
        <f t="shared" ref="K40:K41" si="13">F40*$I$39</f>
        <v>4696034.7419500016</v>
      </c>
      <c r="L40" s="171"/>
      <c r="M40" s="171">
        <f>K40*1.2</f>
        <v>5635241.6903400021</v>
      </c>
      <c r="N40" s="171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3199632.8226000001</v>
      </c>
      <c r="G41" s="178"/>
      <c r="H41" s="179"/>
      <c r="I41" s="184"/>
      <c r="J41" s="185"/>
      <c r="K41" s="171">
        <f t="shared" si="13"/>
        <v>3353215.1980848</v>
      </c>
      <c r="L41" s="171"/>
      <c r="M41" s="193">
        <f t="shared" ref="M41" si="14">K41*1.2</f>
        <v>4023858.2377017597</v>
      </c>
      <c r="N41" s="19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8">
        <f>SUM(F43:H45)*$I$39</f>
        <v>1901842.7066178003</v>
      </c>
      <c r="L42" s="199"/>
      <c r="M42" s="198">
        <f>K42*1.2</f>
        <v>2282211.2479413603</v>
      </c>
      <c r="N42" s="199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4" t="s">
        <v>356</v>
      </c>
      <c r="C43" s="204"/>
      <c r="D43" s="204"/>
      <c r="E43" s="204"/>
      <c r="F43" s="202">
        <f>SUM(F39:H41)/100*P49</f>
        <v>189071.75127298126</v>
      </c>
      <c r="G43" s="202"/>
      <c r="H43" s="203"/>
      <c r="I43" s="184"/>
      <c r="J43" s="185"/>
      <c r="K43" s="200"/>
      <c r="L43" s="201"/>
      <c r="M43" s="200"/>
      <c r="N43" s="201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4" t="s">
        <v>358</v>
      </c>
      <c r="C44" s="204"/>
      <c r="D44" s="204"/>
      <c r="E44" s="204"/>
      <c r="F44" s="202">
        <f>SUM(F39:H41)/100*P50</f>
        <v>1033710.0420064862</v>
      </c>
      <c r="G44" s="202"/>
      <c r="H44" s="203"/>
      <c r="I44" s="184"/>
      <c r="J44" s="185"/>
      <c r="K44" s="200"/>
      <c r="L44" s="201"/>
      <c r="M44" s="200"/>
      <c r="N44" s="201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5" t="s">
        <v>357</v>
      </c>
      <c r="C45" s="205"/>
      <c r="D45" s="205"/>
      <c r="E45" s="205"/>
      <c r="F45" s="202">
        <f>SUM(F39:H41)/100*P51</f>
        <v>591953.61379858619</v>
      </c>
      <c r="G45" s="202"/>
      <c r="H45" s="203"/>
      <c r="I45" s="184"/>
      <c r="J45" s="185"/>
      <c r="K45" s="200"/>
      <c r="L45" s="201"/>
      <c r="M45" s="200"/>
      <c r="N45" s="201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6" t="s">
        <v>81</v>
      </c>
      <c r="B46" s="206"/>
      <c r="C46" s="206"/>
      <c r="D46" s="206"/>
      <c r="E46" s="206"/>
      <c r="F46" s="197">
        <f>SUM(F39:H45)</f>
        <v>10649863.971236058</v>
      </c>
      <c r="G46" s="197"/>
      <c r="H46" s="197"/>
      <c r="I46" s="197"/>
      <c r="J46" s="197"/>
      <c r="K46" s="196">
        <f>SUM(K39:L45)</f>
        <v>11161057.441855386</v>
      </c>
      <c r="L46" s="196"/>
      <c r="M46" s="196">
        <f>SUM(M39:N45)</f>
        <v>13393268.930226464</v>
      </c>
      <c r="N46" s="196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E452FCE-B27D-497E-8A63-1E6D7388C605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2024-02-21T12:41:49Z</dcterms:modified>
</cp:coreProperties>
</file>