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23-1-10-0-08-04-0-0414\"/>
    </mc:Choice>
  </mc:AlternateContent>
  <xr:revisionPtr revIDLastSave="0" documentId="13_ncr:1_{32A6575C-54B4-4344-9812-2B2D510F8299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6" i="4"/>
  <c r="P43" i="4" l="1"/>
  <c r="P44" i="4" l="1"/>
  <c r="P45" i="4" s="1"/>
  <c r="P46" i="4" s="1"/>
  <c r="M18" i="4" l="1"/>
  <c r="M19" i="4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2" i="4" l="1"/>
  <c r="F41" i="4" l="1"/>
  <c r="K41" i="4" l="1"/>
  <c r="M41" i="4" s="1"/>
  <c r="P33" i="4"/>
  <c r="F40" i="4"/>
  <c r="K40" i="4" s="1"/>
  <c r="M40" i="4" s="1"/>
  <c r="P29" i="4" l="1"/>
  <c r="P16" i="4" l="1"/>
  <c r="P30" i="4"/>
  <c r="P34" i="4" s="1"/>
  <c r="F39" i="4" l="1"/>
  <c r="F43" i="4" l="1"/>
  <c r="F45" i="4"/>
  <c r="F44" i="4"/>
  <c r="K39" i="4"/>
  <c r="F46" i="4" l="1"/>
  <c r="M39" i="4"/>
  <c r="K42" i="4"/>
  <c r="M42" i="4" s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<sst xmlns="http://schemas.openxmlformats.org/spreadsheetml/2006/main" count="405" uniqueCount="365">
  <si>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</si>
  <si>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</si>
  <si>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</si>
  <si>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</si>
  <si>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</si>
  <si>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</si>
  <si>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</si>
  <si>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</si>
  <si>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</si>
  <si>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</si>
  <si>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</si>
  <si>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</si>
  <si>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</si>
  <si>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</si>
  <si>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</si>
  <si>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</si>
  <si>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</si>
  <si>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</si>
  <si>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</si>
  <si>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</si>
  <si>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</si>
  <si>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</si>
  <si>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</si>
  <si>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</si>
  <si>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</si>
  <si>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</si>
  <si>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</si>
  <si>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</si>
  <si>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</si>
  <si>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</si>
  <si>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</si>
  <si>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</si>
  <si>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</si>
  <si>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</si>
  <si>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</si>
  <si>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</si>
  <si>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</si>
  <si>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</si>
  <si>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</si>
  <si>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</si>
  <si>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</si>
  <si>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</si>
  <si>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</si>
  <si>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</si>
  <si>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</si>
  <si>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</si>
  <si>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</si>
  <si>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</si>
  <si>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</si>
  <si>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</si>
  <si>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</si>
  <si>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</si>
  <si>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</si>
  <si>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</si>
  <si>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</si>
  <si>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</si>
  <si>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</si>
  <si>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</si>
  <si>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</si>
  <si>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</si>
  <si>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</si>
  <si>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</si>
  <si>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</si>
  <si>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</si>
  <si>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</si>
  <si>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</si>
  <si>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</si>
  <si>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</si>
  <si>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</si>
  <si>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</si>
  <si>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</si>
  <si>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</si>
  <si>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</si>
  <si>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</si>
  <si>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</si>
  <si>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</si>
  <si>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</si>
  <si>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</si>
  <si>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</si>
  <si>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</si>
  <si>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</si>
  <si>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</si>
  <si>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</si>
  <si>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</si>
  <si>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</si>
  <si>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</si>
  <si>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</si>
  <si>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</si>
  <si>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</si>
  <si>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</si>
  <si>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</si>
  <si>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</si>
  <si>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</si>
  <si>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</si>
  <si>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</si>
  <si>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</si>
  <si>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</si>
  <si>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</si>
  <si>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</si>
  <si>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</si>
  <si>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</si>
  <si>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</si>
  <si>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</si>
  <si>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</si>
  <si>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</si>
  <si>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</si>
  <si>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</si>
  <si>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</si>
  <si>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</si>
  <si>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</si>
  <si>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</si>
  <si>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</si>
  <si>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</si>
  <si>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</si>
  <si>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</si>
  <si>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</si>
  <si>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</si>
  <si>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</si>
  <si>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</si>
  <si>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</si>
  <si>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</si>
  <si>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</si>
  <si>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</si>
  <si>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</si>
  <si>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</si>
  <si>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</si>
  <si>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</si>
  <si>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</si>
  <si>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</si>
  <si>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</si>
  <si>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</si>
  <si>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</si>
  <si>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</si>
  <si>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</si>
  <si>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</si>
  <si>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</si>
  <si>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</si>
  <si>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</si>
  <si>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</si>
  <si>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</si>
  <si>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</si>
  <si>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</si>
  <si>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</si>
  <si>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</si>
  <si>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</si>
  <si>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</si>
  <si>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</si>
  <si>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</si>
  <si>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</si>
  <si>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</si>
  <si>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</si>
  <si>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</si>
  <si>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</si>
  <si>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</si>
  <si>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</si>
  <si>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</si>
  <si>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</si>
  <si>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</si>
  <si>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</si>
  <si>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</si>
  <si>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</si>
  <si>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</si>
  <si>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</si>
  <si>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</si>
  <si>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</si>
  <si>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</si>
  <si>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</si>
  <si>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</si>
  <si>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</si>
  <si>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</si>
  <si>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</si>
  <si>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</si>
  <si>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</si>
  <si>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</si>
  <si>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</si>
  <si>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</si>
  <si>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</si>
  <si>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</si>
  <si>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</si>
  <si>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</si>
  <si>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</si>
  <si>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</si>
  <si>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</si>
  <si>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</si>
  <si>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</si>
  <si>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</si>
  <si>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</si>
  <si>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</si>
  <si>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</si>
  <si>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</si>
  <si>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</si>
  <si>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</si>
  <si>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</si>
  <si>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</si>
  <si>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</si>
  <si>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</si>
  <si>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</si>
  <si>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</si>
  <si>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</si>
  <si>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</si>
  <si>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</si>
  <si>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</si>
  <si>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</si>
  <si>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</si>
  <si>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</si>
  <si>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</si>
  <si>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</si>
  <si>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</si>
  <si>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</si>
  <si>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</si>
  <si>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</si>
  <si>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</si>
  <si>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</si>
  <si>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</si>
  <si>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</si>
  <si>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</si>
  <si>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</si>
  <si>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</si>
  <si>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</si>
  <si>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</si>
  <si>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</si>
  <si>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</si>
  <si>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</si>
  <si>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</si>
  <si>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</si>
  <si>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</si>
  <si>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</si>
  <si>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</si>
  <si>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</si>
  <si>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</si>
  <si>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</si>
  <si>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</si>
  <si>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</si>
  <si>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</si>
  <si>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</si>
  <si>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</si>
  <si>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</si>
  <si>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</si>
  <si>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</si>
  <si>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</si>
  <si>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</si>
  <si>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</si>
  <si>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</si>
  <si>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</si>
  <si>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</si>
  <si>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</si>
  <si>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</si>
  <si>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</si>
  <si>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</si>
  <si>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</si>
  <si>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</si>
  <si>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</si>
  <si>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</si>
  <si>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</si>
  <si>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</si>
  <si>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</si>
  <si>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</si>
  <si>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</si>
  <si>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</si>
  <si>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</si>
  <si>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</si>
  <si>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</si>
  <si>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</si>
  <si>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</si>
  <si>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</si>
  <si>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</si>
  <si>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</si>
  <si>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</si>
  <si>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</si>
  <si>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</si>
  <si>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</si>
  <si>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</si>
  <si>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</si>
  <si>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</si>
  <si>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</si>
  <si>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</si>
  <si>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</si>
  <si>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</si>
  <si>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</si>
  <si>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</si>
  <si>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</si>
  <si>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</si>
  <si>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</si>
  <si>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</si>
  <si>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</si>
  <si>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</si>
  <si>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</si>
  <si>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</si>
  <si>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</si>
  <si>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</si>
  <si>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</si>
  <si>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</si>
  <si>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</si>
  <si>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</si>
  <si>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</si>
  <si>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</si>
  <si>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</si>
  <si>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</si>
  <si>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</si>
  <si>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</si>
  <si>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</si>
  <si>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</si>
  <si>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</si>
  <si>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</si>
  <si>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</si>
  <si>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</si>
  <si>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</si>
  <si>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</si>
  <si>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</si>
  <si>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</si>
  <si>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</si>
  <si>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</si>
  <si>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</si>
  <si>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</si>
  <si>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</si>
  <si>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</si>
  <si>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</si>
  <si>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</si>
  <si>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</si>
  <si>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</si>
  <si>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</si>
  <si>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</si>
  <si>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</si>
  <si>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</si>
  <si>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</si>
  <si>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</si>
  <si>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</si>
  <si>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</si>
  <si>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</si>
  <si>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</si>
  <si>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</si>
  <si>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</si>
  <si>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</si>
  <si>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</si>
  <si>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</si>
  <si>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</si>
  <si>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</si>
  <si>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</si>
  <si>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</si>
  <si>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</si>
  <si>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</si>
  <si>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</si>
  <si>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</si>
  <si>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</si>
  <si>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</si>
  <si>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</si>
  <si>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</si>
  <si>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</si>
  <si>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</si>
  <si>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</si>
  <si>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</si>
  <si>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</si>
  <si>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</si>
  <si>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</si>
  <si>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</si>
  <si>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</si>
  <si>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</si>
  <si>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</si>
  <si>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</si>
  <si>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</si>
  <si>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</si>
  <si>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</si>
  <si>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</si>
  <si>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КЛ-6 кВ в части замены кабеля протяженностью 0,95 км (ПС-382 - ТП-180А - ТП-189А) по договору ТП № 10-002/005-ПС-23 в г. Кировск ЛО</t>
  </si>
  <si>
    <t>O_23-1-10-0-08-04-0-0414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</si>
</sst>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I7" sqref="I7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8554687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bestFit="1" customWidth="1"/>
    <col min="13" max="13" width="11" style="2" customWidth="1"/>
    <col min="14" max="14" width="12.7109375" style="2" bestFit="1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8" t="s">
        <v>363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</row>
    <row r="6" spans="1:22" ht="10.5" customHeight="1" x14ac:dyDescent="0.25"/>
    <row r="7" spans="1:22" ht="13.5" customHeight="1" x14ac:dyDescent="0.25">
      <c r="A7" s="6" t="s">
        <v>5</v>
      </c>
      <c r="H7" s="164" t="s">
        <v>364</v>
      </c>
      <c r="I7" s="164"/>
      <c r="J7" s="24"/>
      <c r="K7" s="24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2" t="s">
        <v>76</v>
      </c>
      <c r="I9" s="192"/>
      <c r="J9" s="192"/>
      <c r="K9" s="192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90" t="s">
        <v>6</v>
      </c>
      <c r="B13" s="190" t="s">
        <v>9</v>
      </c>
      <c r="C13" s="190" t="s">
        <v>334</v>
      </c>
      <c r="D13" s="190" t="s">
        <v>349</v>
      </c>
      <c r="E13" s="190"/>
      <c r="F13" s="190"/>
      <c r="G13" s="190"/>
      <c r="H13" s="190" t="s">
        <v>335</v>
      </c>
      <c r="I13" s="190" t="s">
        <v>348</v>
      </c>
      <c r="J13" s="190" t="s">
        <v>7</v>
      </c>
      <c r="K13" s="191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7" t="s">
        <v>337</v>
      </c>
      <c r="Q13" s="24"/>
    </row>
    <row r="14" spans="1:22" ht="38.25" customHeight="1" x14ac:dyDescent="0.25">
      <c r="A14" s="190"/>
      <c r="B14" s="190"/>
      <c r="C14" s="190"/>
      <c r="D14" s="136" t="s">
        <v>89</v>
      </c>
      <c r="E14" s="136" t="s">
        <v>91</v>
      </c>
      <c r="F14" s="136" t="s">
        <v>93</v>
      </c>
      <c r="G14" s="136" t="s">
        <v>318</v>
      </c>
      <c r="H14" s="190"/>
      <c r="I14" s="190"/>
      <c r="J14" s="190"/>
      <c r="K14" s="191"/>
      <c r="L14" s="136" t="s">
        <v>1</v>
      </c>
      <c r="M14" s="136" t="s">
        <v>317</v>
      </c>
      <c r="N14" s="136" t="s">
        <v>2</v>
      </c>
      <c r="O14" s="136" t="s">
        <v>3</v>
      </c>
      <c r="P14" s="187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39"/>
      <c r="R15" s="139"/>
      <c r="S15" s="139"/>
      <c r="T15" s="139"/>
      <c r="U15" s="39"/>
      <c r="V15" s="17"/>
    </row>
    <row r="16" spans="1:22" ht="30" customHeight="1" x14ac:dyDescent="0.25">
      <c r="A16" s="10"/>
      <c r="B16" s="40" t="s">
        <v>196</v>
      </c>
      <c r="C16" s="37">
        <f>VLOOKUP($B$16:$B$29,'Наименование работ'!B:G,6,)</f>
        <v>1458409.2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9267255.498499997</v>
      </c>
      <c r="I16" s="36">
        <f>VLOOKUP($B$16:$B$29,'Наименование работ'!B:R,17,)</f>
        <v>0</v>
      </c>
      <c r="J16" s="38" t="s">
        <v>353</v>
      </c>
      <c r="K16" s="163">
        <v>0.25</v>
      </c>
      <c r="L16" s="33">
        <f>(N16+O16)*0.08</f>
        <v>185345.10996999993</v>
      </c>
      <c r="M16" s="33">
        <f>122750*K16</f>
        <v>30687.5</v>
      </c>
      <c r="N16" s="34">
        <f>K16*H16</f>
        <v>2316813.8746249992</v>
      </c>
      <c r="O16" s="34">
        <f>K16*I16</f>
        <v>0</v>
      </c>
      <c r="P16" s="34">
        <f t="shared" ref="P16" si="0">SUM(L16:O16)</f>
        <v>2532846.4845949993</v>
      </c>
      <c r="Q16" s="25"/>
      <c r="R16" s="25"/>
      <c r="S16" s="25"/>
      <c r="T16" s="25"/>
      <c r="U16" s="20"/>
      <c r="V16" s="17"/>
    </row>
    <row r="17" spans="1:22" ht="30" customHeight="1" x14ac:dyDescent="0.25">
      <c r="A17" s="10"/>
      <c r="B17" s="40" t="s">
        <v>217</v>
      </c>
      <c r="C17" s="37">
        <f>VLOOKUP($B$16:$B$29,'Наименование работ'!B:G,6,)</f>
        <v>1519780.5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11632093.8588</v>
      </c>
      <c r="I17" s="36">
        <f>VLOOKUP($B$16:$B$29,'Наименование работ'!B:R,17,)</f>
        <v>0</v>
      </c>
      <c r="J17" s="38" t="s">
        <v>353</v>
      </c>
      <c r="K17" s="163">
        <v>0.7</v>
      </c>
      <c r="L17" s="33">
        <f t="shared" ref="L17" si="1">(N17+O17)*0.08</f>
        <v>651397.25609279994</v>
      </c>
      <c r="M17" s="33">
        <f t="shared" ref="M17" si="2">122750*K17</f>
        <v>85925</v>
      </c>
      <c r="N17" s="34">
        <f t="shared" ref="N17:N29" si="3">K17*H17</f>
        <v>8142465.7011599988</v>
      </c>
      <c r="O17" s="34">
        <f t="shared" ref="O17:O29" si="4">K17*I17</f>
        <v>0</v>
      </c>
      <c r="P17" s="34">
        <f t="shared" ref="P17" si="5">SUM(L17:O17)</f>
        <v>8879787.9572527986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184</v>
      </c>
      <c r="C18" s="37">
        <f>VLOOKUP($B$16:$B$29,'Наименование работ'!B:G,6,)</f>
        <v>669729.81000000006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4716973.8205000004</v>
      </c>
      <c r="I18" s="36">
        <f>VLOOKUP($B$16:$B$29,'Наименование работ'!B:R,17,)</f>
        <v>0</v>
      </c>
      <c r="J18" s="38" t="s">
        <v>353</v>
      </c>
      <c r="K18" s="155">
        <v>0</v>
      </c>
      <c r="L18" s="33">
        <f t="shared" ref="L18:L29" si="6">(N18+O18)*0.08</f>
        <v>0</v>
      </c>
      <c r="M18" s="33">
        <f t="shared" ref="M18:M29" si="7">147300*K18</f>
        <v>0</v>
      </c>
      <c r="N18" s="34">
        <f t="shared" si="3"/>
        <v>0</v>
      </c>
      <c r="O18" s="34">
        <f t="shared" si="4"/>
        <v>0</v>
      </c>
      <c r="P18" s="34">
        <f t="shared" ref="P18" si="8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66</v>
      </c>
      <c r="C19" s="37">
        <f>VLOOKUP($B$16:$B$29,'Наименование работ'!B:G,6,)</f>
        <v>568619.43000000005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4052197.5176000008</v>
      </c>
      <c r="I19" s="36">
        <f>VLOOKUP($B$16:$B$29,'Наименование работ'!B:R,17,)</f>
        <v>0</v>
      </c>
      <c r="J19" s="38" t="s">
        <v>353</v>
      </c>
      <c r="K19" s="155">
        <v>0</v>
      </c>
      <c r="L19" s="33">
        <f>(N19+O19)*0.04</f>
        <v>0</v>
      </c>
      <c r="M19" s="33">
        <f t="shared" si="7"/>
        <v>0</v>
      </c>
      <c r="N19" s="34">
        <f t="shared" si="3"/>
        <v>0</v>
      </c>
      <c r="O19" s="34">
        <f t="shared" si="4"/>
        <v>0</v>
      </c>
      <c r="P19" s="34">
        <f t="shared" ref="P19:P23" si="9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210</v>
      </c>
      <c r="C20" s="37">
        <f>VLOOKUP($B$16:$B$29,'Наименование работ'!B:G,6,)</f>
        <v>898103.22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8348995.227599998</v>
      </c>
      <c r="I20" s="36">
        <f>VLOOKUP($B$16:$B$29,'Наименование работ'!B:R,17,)</f>
        <v>0</v>
      </c>
      <c r="J20" s="38" t="s">
        <v>353</v>
      </c>
      <c r="K20" s="155">
        <v>0</v>
      </c>
      <c r="L20" s="33">
        <f>(N20+O20)*0.04</f>
        <v>0</v>
      </c>
      <c r="M20" s="33">
        <f t="shared" si="7"/>
        <v>0</v>
      </c>
      <c r="N20" s="34">
        <f t="shared" si="3"/>
        <v>0</v>
      </c>
      <c r="O20" s="34">
        <f t="shared" si="4"/>
        <v>0</v>
      </c>
      <c r="P20" s="34">
        <f t="shared" si="9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7"/>
        <v>0</v>
      </c>
      <c r="N21" s="34">
        <f t="shared" si="3"/>
        <v>0</v>
      </c>
      <c r="O21" s="34">
        <f t="shared" si="4"/>
        <v>0</v>
      </c>
      <c r="P21" s="34">
        <f t="shared" si="9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6"/>
        <v>0</v>
      </c>
      <c r="M22" s="33">
        <f t="shared" si="7"/>
        <v>0</v>
      </c>
      <c r="N22" s="34">
        <f t="shared" si="3"/>
        <v>0</v>
      </c>
      <c r="O22" s="34">
        <f t="shared" si="4"/>
        <v>0</v>
      </c>
      <c r="P22" s="34">
        <f t="shared" si="9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6"/>
        <v>0</v>
      </c>
      <c r="M23" s="33">
        <f t="shared" si="7"/>
        <v>0</v>
      </c>
      <c r="N23" s="34">
        <f t="shared" si="3"/>
        <v>0</v>
      </c>
      <c r="O23" s="34">
        <f t="shared" si="4"/>
        <v>0</v>
      </c>
      <c r="P23" s="34">
        <f t="shared" si="9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6"/>
        <v>0</v>
      </c>
      <c r="M24" s="33">
        <f t="shared" si="7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6"/>
        <v>0</v>
      </c>
      <c r="M25" s="33">
        <f t="shared" si="7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6"/>
        <v>0</v>
      </c>
      <c r="M26" s="33">
        <f t="shared" si="7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6"/>
        <v>0</v>
      </c>
      <c r="M27" s="33">
        <f t="shared" si="7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6"/>
        <v>0</v>
      </c>
      <c r="M28" s="33">
        <f t="shared" si="7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6"/>
        <v>0</v>
      </c>
      <c r="M29" s="33">
        <f t="shared" si="7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0" t="s">
        <v>317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2"/>
      <c r="P30" s="34">
        <f>SUM(M16:M29)</f>
        <v>116612.5</v>
      </c>
    </row>
    <row r="31" spans="1:22" ht="16.5" customHeight="1" x14ac:dyDescent="0.25">
      <c r="A31" s="141"/>
      <c r="B31" s="180" t="s">
        <v>2</v>
      </c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2"/>
      <c r="P31" s="35">
        <f>SUM(N16:N29)</f>
        <v>10459279.575784998</v>
      </c>
    </row>
    <row r="32" spans="1:22" ht="16.5" customHeight="1" x14ac:dyDescent="0.25">
      <c r="A32" s="141"/>
      <c r="B32" s="180" t="s">
        <v>3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2"/>
      <c r="P32" s="35">
        <f>SUM(O16:O29)</f>
        <v>0</v>
      </c>
    </row>
    <row r="33" spans="1:21" ht="16.5" customHeight="1" x14ac:dyDescent="0.25">
      <c r="A33" s="141"/>
      <c r="B33" s="180" t="s">
        <v>346</v>
      </c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2"/>
      <c r="P33" s="35">
        <f>SUM(L16:L29)</f>
        <v>836742.36606279993</v>
      </c>
      <c r="Q33" s="32"/>
      <c r="R33" s="32"/>
    </row>
    <row r="34" spans="1:21" ht="16.5" customHeight="1" x14ac:dyDescent="0.25">
      <c r="A34" s="141"/>
      <c r="B34" s="194" t="s">
        <v>12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6"/>
      <c r="P34" s="34">
        <f>SUM(P30:P33)</f>
        <v>11412634.441847797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90" t="s">
        <v>0</v>
      </c>
      <c r="C38" s="190"/>
      <c r="D38" s="190"/>
      <c r="E38" s="190"/>
      <c r="F38" s="197" t="s">
        <v>337</v>
      </c>
      <c r="G38" s="197"/>
      <c r="H38" s="198"/>
      <c r="I38" s="201" t="s">
        <v>354</v>
      </c>
      <c r="J38" s="202"/>
      <c r="K38" s="191" t="s">
        <v>338</v>
      </c>
      <c r="L38" s="191"/>
      <c r="M38" s="191" t="s">
        <v>339</v>
      </c>
      <c r="N38" s="191"/>
      <c r="O38" s="165"/>
      <c r="P38" s="165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8" t="s">
        <v>319</v>
      </c>
      <c r="C39" s="168"/>
      <c r="D39" s="168"/>
      <c r="E39" s="168"/>
      <c r="F39" s="199">
        <f>P33+P30</f>
        <v>953354.86606279993</v>
      </c>
      <c r="G39" s="199"/>
      <c r="H39" s="200"/>
      <c r="I39" s="203">
        <v>1.0529999999999999</v>
      </c>
      <c r="J39" s="204"/>
      <c r="K39" s="185">
        <f>F39*$I$39</f>
        <v>1003882.6739641282</v>
      </c>
      <c r="L39" s="185"/>
      <c r="M39" s="185">
        <f>K39*1.2</f>
        <v>1204659.2087569539</v>
      </c>
      <c r="N39" s="185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8" t="s">
        <v>2</v>
      </c>
      <c r="C40" s="168"/>
      <c r="D40" s="168"/>
      <c r="E40" s="168"/>
      <c r="F40" s="183">
        <f>P31</f>
        <v>10459279.575784998</v>
      </c>
      <c r="G40" s="183"/>
      <c r="H40" s="184"/>
      <c r="I40" s="205"/>
      <c r="J40" s="206"/>
      <c r="K40" s="185">
        <f t="shared" ref="K40:K41" si="13">F40*$I$39</f>
        <v>11013621.393301602</v>
      </c>
      <c r="L40" s="185"/>
      <c r="M40" s="185">
        <f>K40*1.2</f>
        <v>13216345.671961922</v>
      </c>
      <c r="N40" s="185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8" t="s">
        <v>3</v>
      </c>
      <c r="C41" s="168"/>
      <c r="D41" s="168"/>
      <c r="E41" s="168"/>
      <c r="F41" s="183">
        <f>P32</f>
        <v>0</v>
      </c>
      <c r="G41" s="183"/>
      <c r="H41" s="184"/>
      <c r="I41" s="205"/>
      <c r="J41" s="206"/>
      <c r="K41" s="185">
        <f t="shared" si="13"/>
        <v>0</v>
      </c>
      <c r="L41" s="185"/>
      <c r="M41" s="186">
        <f t="shared" ref="M41" si="14">K41*1.2</f>
        <v>0</v>
      </c>
      <c r="N41" s="186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8" t="s">
        <v>4</v>
      </c>
      <c r="C42" s="168"/>
      <c r="D42" s="168"/>
      <c r="E42" s="168"/>
      <c r="F42" s="183"/>
      <c r="G42" s="183"/>
      <c r="H42" s="184"/>
      <c r="I42" s="205"/>
      <c r="J42" s="206"/>
      <c r="K42" s="169">
        <f>SUM(F43:H45)*$I$39</f>
        <v>2468395.3354163812</v>
      </c>
      <c r="L42" s="170"/>
      <c r="M42" s="169">
        <f>K42*1.2</f>
        <v>2962074.4024996576</v>
      </c>
      <c r="N42" s="170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5" t="s">
        <v>356</v>
      </c>
      <c r="C43" s="175"/>
      <c r="D43" s="175"/>
      <c r="E43" s="175"/>
      <c r="F43" s="173">
        <f>SUM(F39:H41)/100*P49</f>
        <v>244230.37705554289</v>
      </c>
      <c r="G43" s="173"/>
      <c r="H43" s="174"/>
      <c r="I43" s="205"/>
      <c r="J43" s="206"/>
      <c r="K43" s="171"/>
      <c r="L43" s="172"/>
      <c r="M43" s="171"/>
      <c r="N43" s="172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5" t="s">
        <v>358</v>
      </c>
      <c r="C44" s="175"/>
      <c r="D44" s="175"/>
      <c r="E44" s="175"/>
      <c r="F44" s="173">
        <f>SUM(F39:H41)/100*P50</f>
        <v>1335278.2296961923</v>
      </c>
      <c r="G44" s="173"/>
      <c r="H44" s="174"/>
      <c r="I44" s="205"/>
      <c r="J44" s="206"/>
      <c r="K44" s="171"/>
      <c r="L44" s="172"/>
      <c r="M44" s="171"/>
      <c r="N44" s="172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6" t="s">
        <v>357</v>
      </c>
      <c r="C45" s="176"/>
      <c r="D45" s="176"/>
      <c r="E45" s="176"/>
      <c r="F45" s="173">
        <f>SUM(F39:H41)/100*P51</f>
        <v>764646.50760380249</v>
      </c>
      <c r="G45" s="173"/>
      <c r="H45" s="174"/>
      <c r="I45" s="205"/>
      <c r="J45" s="206"/>
      <c r="K45" s="171"/>
      <c r="L45" s="172"/>
      <c r="M45" s="171"/>
      <c r="N45" s="172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177" t="s">
        <v>81</v>
      </c>
      <c r="B46" s="177"/>
      <c r="C46" s="177"/>
      <c r="D46" s="177"/>
      <c r="E46" s="177"/>
      <c r="F46" s="167">
        <f>SUM(F39:H45)</f>
        <v>13756789.556203334</v>
      </c>
      <c r="G46" s="167"/>
      <c r="H46" s="167"/>
      <c r="I46" s="167"/>
      <c r="J46" s="167"/>
      <c r="K46" s="166">
        <f>SUM(K39:L45)</f>
        <v>14485899.402682111</v>
      </c>
      <c r="L46" s="166"/>
      <c r="M46" s="166">
        <f>SUM(M39:N45)</f>
        <v>17383079.283218533</v>
      </c>
      <c r="N46" s="166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9" t="s">
        <v>342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9" t="s">
        <v>345</v>
      </c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8" t="s">
        <v>343</v>
      </c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8" t="s">
        <v>344</v>
      </c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5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3F613A9-47DE-4E39-AACC-CC1022D5041F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2024-02-21T12:18:42Z</dcterms:modified>
</cp:coreProperties>
</file>