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630\"/>
    </mc:Choice>
  </mc:AlternateContent>
  <xr:revisionPtr revIDLastSave="0" documentId="13_ncr:1_{F4F01B26-ACB3-4AF7-B06E-348B0855A812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60" i="5" l="1"/>
  <c r="L160" i="5" s="1"/>
  <c r="C83" i="5"/>
  <c r="L83" i="5" s="1"/>
  <c r="I83" i="5" s="1"/>
  <c r="J83" i="5" s="1"/>
  <c r="C152" i="5"/>
  <c r="L152" i="5" s="1"/>
  <c r="P95" i="5"/>
  <c r="C186" i="5"/>
  <c r="L186" i="5" s="1"/>
  <c r="P145" i="5"/>
  <c r="I145" i="5" s="1"/>
  <c r="J145" i="5" s="1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54" i="5"/>
  <c r="J54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I88" i="5" s="1"/>
  <c r="J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<sst xmlns="http://schemas.openxmlformats.org/spreadsheetml/2006/main" count="405" uniqueCount="365">
  <si>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</si>
  <si>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</si>
  <si>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</si>
  <si>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</si>
  <si>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</si>
  <si>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</si>
  <si>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</si>
  <si>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</si>
  <si>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</si>
  <si>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</si>
  <si>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</si>
  <si>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</si>
  <si>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</si>
  <si>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</si>
  <si>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</si>
  <si>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</si>
  <si>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</si>
  <si>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</si>
  <si>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</si>
  <si>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</si>
  <si>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</si>
  <si>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</si>
  <si>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</si>
  <si>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</si>
  <si>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</si>
  <si>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</si>
  <si>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</si>
  <si>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</si>
  <si>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</si>
  <si>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</si>
  <si>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</si>
  <si>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</si>
  <si>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</si>
  <si>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</si>
  <si>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</si>
  <si>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</si>
  <si>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</si>
  <si>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</si>
  <si>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</si>
  <si>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</si>
  <si>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</si>
  <si>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</si>
  <si>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</si>
  <si>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</si>
  <si>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</si>
  <si>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</si>
  <si>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</si>
  <si>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</si>
  <si>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</si>
  <si>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</si>
  <si>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</si>
  <si>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</si>
  <si>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</si>
  <si>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</si>
  <si>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</si>
  <si>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</si>
  <si>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</si>
  <si>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</si>
  <si>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</si>
  <si>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</si>
  <si>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</si>
  <si>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</si>
  <si>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</si>
  <si>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</si>
  <si>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</si>
  <si>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</si>
  <si>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</si>
  <si>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</si>
  <si>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</si>
  <si>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</si>
  <si>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</si>
  <si>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</si>
  <si>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</si>
  <si>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</si>
  <si>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</si>
  <si>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</si>
  <si>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</si>
  <si>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</si>
  <si>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</si>
  <si>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</si>
  <si>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</si>
  <si>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</si>
  <si>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</si>
  <si>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</si>
  <si>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</si>
  <si>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</si>
  <si>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</si>
  <si>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</si>
  <si>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</si>
  <si>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</si>
  <si>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</si>
  <si>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</si>
  <si>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</si>
  <si>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</si>
  <si>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</si>
  <si>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</si>
  <si>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</si>
  <si>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</si>
  <si>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</si>
  <si>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</si>
  <si>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</si>
  <si>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</si>
  <si>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</si>
  <si>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</si>
  <si>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</si>
  <si>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</si>
  <si>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</si>
  <si>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</si>
  <si>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</si>
  <si>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</si>
  <si>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</si>
  <si>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</si>
  <si>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</si>
  <si>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</si>
  <si>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</si>
  <si>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</si>
  <si>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</si>
  <si>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</si>
  <si>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</si>
  <si>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</si>
  <si>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</si>
  <si>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</si>
  <si>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</si>
  <si>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</si>
  <si>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</si>
  <si>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</si>
  <si>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</si>
  <si>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</si>
  <si>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</si>
  <si>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</si>
  <si>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</si>
  <si>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</si>
  <si>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</si>
  <si>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</si>
  <si>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</si>
  <si>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</si>
  <si>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</si>
  <si>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</si>
  <si>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</si>
  <si>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</si>
  <si>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</si>
  <si>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</si>
  <si>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</si>
  <si>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</si>
  <si>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</si>
  <si>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</si>
  <si>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</si>
  <si>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</si>
  <si>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</si>
  <si>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</si>
  <si>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</si>
  <si>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</si>
  <si>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</si>
  <si>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</si>
  <si>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</si>
  <si>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</si>
  <si>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</si>
  <si>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</si>
  <si>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</si>
  <si>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</si>
  <si>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</si>
  <si>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</si>
  <si>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</si>
  <si>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</si>
  <si>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</si>
  <si>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</si>
  <si>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</si>
  <si>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</si>
  <si>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</si>
  <si>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</si>
  <si>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</si>
  <si>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</si>
  <si>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</si>
  <si>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</si>
  <si>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</si>
  <si>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</si>
  <si>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</si>
  <si>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</si>
  <si>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</si>
  <si>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</si>
  <si>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</si>
  <si>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</si>
  <si>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</si>
  <si>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</si>
  <si>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</si>
  <si>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</si>
  <si>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</si>
  <si>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</si>
  <si>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</si>
  <si>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</si>
  <si>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</si>
  <si>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</si>
  <si>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</si>
  <si>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</si>
  <si>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</si>
  <si>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</si>
  <si>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</si>
  <si>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</si>
  <si>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</si>
  <si>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</si>
  <si>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</si>
  <si>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</si>
  <si>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</si>
  <si>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</si>
  <si>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</si>
  <si>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</si>
  <si>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</si>
  <si>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</si>
  <si>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</si>
  <si>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</si>
  <si>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</si>
  <si>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</si>
  <si>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</si>
  <si>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</si>
  <si>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</si>
  <si>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</si>
  <si>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</si>
  <si>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</si>
  <si>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</si>
  <si>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</si>
  <si>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</si>
  <si>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</si>
  <si>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</si>
  <si>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</si>
  <si>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</si>
  <si>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</si>
  <si>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</si>
  <si>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</si>
  <si>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</si>
  <si>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</si>
  <si>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</si>
  <si>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</si>
  <si>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</si>
  <si>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</si>
  <si>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</si>
  <si>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</si>
  <si>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</si>
  <si>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</si>
  <si>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</si>
  <si>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</si>
  <si>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</si>
  <si>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</si>
  <si>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</si>
  <si>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</si>
  <si>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</si>
  <si>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</si>
  <si>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</si>
  <si>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</si>
  <si>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</si>
  <si>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</si>
  <si>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</si>
  <si>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</si>
  <si>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</si>
  <si>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</si>
  <si>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</si>
  <si>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</si>
  <si>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</si>
  <si>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</si>
  <si>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</si>
  <si>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</si>
  <si>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</si>
  <si>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</si>
  <si>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</si>
  <si>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</si>
  <si>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</si>
  <si>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</si>
  <si>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</si>
  <si>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</si>
  <si>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</si>
  <si>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</si>
  <si>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</si>
  <si>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</si>
  <si>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</si>
  <si>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</si>
  <si>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</si>
  <si>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</si>
  <si>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</si>
  <si>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</si>
  <si>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</si>
  <si>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</si>
  <si>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</si>
  <si>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</si>
  <si>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</si>
  <si>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</si>
  <si>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</si>
  <si>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</si>
  <si>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</si>
  <si>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</si>
  <si>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</si>
  <si>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</si>
  <si>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</si>
  <si>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</si>
  <si>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</si>
  <si>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</si>
  <si>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</si>
  <si>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</si>
  <si>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</si>
  <si>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</si>
  <si>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</si>
  <si>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</si>
  <si>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</si>
  <si>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</si>
  <si>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</si>
  <si>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</si>
  <si>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</si>
  <si>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</si>
  <si>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</si>
  <si>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</si>
  <si>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</si>
  <si>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</si>
  <si>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</si>
  <si>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</si>
  <si>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</si>
  <si>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</si>
  <si>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</si>
  <si>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</si>
  <si>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</si>
  <si>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</si>
  <si>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</si>
  <si>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</si>
  <si>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</si>
  <si>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</si>
  <si>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</si>
  <si>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</si>
  <si>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</si>
  <si>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</si>
  <si>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</si>
  <si>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</si>
  <si>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</si>
  <si>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</si>
  <si>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</si>
  <si>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</si>
  <si>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</si>
  <si>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</si>
  <si>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</si>
  <si>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</si>
  <si>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</si>
  <si>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</si>
  <si>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</si>
  <si>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</si>
  <si>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</si>
  <si>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</si>
  <si>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</si>
  <si>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</si>
  <si>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</si>
  <si>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</si>
  <si>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</si>
  <si>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</si>
  <si>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</si>
  <si>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</si>
  <si>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</si>
  <si>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</si>
  <si>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</si>
  <si>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</si>
  <si>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</si>
  <si>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</si>
  <si>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</si>
  <si>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</si>
  <si>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</si>
  <si>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</si>
  <si>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</si>
  <si>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</si>
  <si>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</si>
  <si>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ТП-260 в части замены автоматов в РУ-0,4 кВ и ТМГ-0,8 МВА (2 шт) по договору ТП № 17-020/005-ПС-19 (ООО ''ВЕРШИНА'') в г. Всеволожск</t>
  </si>
  <si>
    <t>O_23-1-17-0-08-04-0-0630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</si>
</sst>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69" t="s">
        <v>6</v>
      </c>
      <c r="B13" s="169" t="s">
        <v>9</v>
      </c>
      <c r="C13" s="169" t="s">
        <v>334</v>
      </c>
      <c r="D13" s="169" t="s">
        <v>349</v>
      </c>
      <c r="E13" s="169"/>
      <c r="F13" s="169"/>
      <c r="G13" s="169"/>
      <c r="H13" s="169" t="s">
        <v>335</v>
      </c>
      <c r="I13" s="169" t="s">
        <v>348</v>
      </c>
      <c r="J13" s="169" t="s">
        <v>7</v>
      </c>
      <c r="K13" s="16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69"/>
      <c r="B14" s="169"/>
      <c r="C14" s="169"/>
      <c r="D14" s="136" t="s">
        <v>89</v>
      </c>
      <c r="E14" s="136" t="s">
        <v>91</v>
      </c>
      <c r="F14" s="136" t="s">
        <v>93</v>
      </c>
      <c r="G14" s="136" t="s">
        <v>318</v>
      </c>
      <c r="H14" s="169"/>
      <c r="I14" s="169"/>
      <c r="J14" s="169"/>
      <c r="K14" s="167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352</v>
      </c>
      <c r="K16" s="149">
        <v>2</v>
      </c>
      <c r="L16" s="33">
        <f>(N16+O16)*0.04</f>
        <v>10999.594552000002</v>
      </c>
      <c r="M16" s="33">
        <f>147300*K16</f>
        <v>294600</v>
      </c>
      <c r="N16" s="34">
        <f>K16*H16</f>
        <v>226599.54580000005</v>
      </c>
      <c r="O16" s="34">
        <f>K16*I16</f>
        <v>48390.317999999999</v>
      </c>
      <c r="P16" s="34">
        <f t="shared" ref="P16" si="0">SUM(L16:O16)</f>
        <v>580589.45835199999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138</v>
      </c>
      <c r="C17" s="37">
        <f>VLOOKUP($B$16:$B$29,'Наименование работ'!B:G,6,)</f>
        <v>154995.76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576410.1898000004</v>
      </c>
      <c r="I17" s="36">
        <f>VLOOKUP($B$16:$B$29,'Наименование работ'!B:R,17,)</f>
        <v>776028.69209999999</v>
      </c>
      <c r="J17" s="38" t="s">
        <v>352</v>
      </c>
      <c r="K17" s="149">
        <v>2</v>
      </c>
      <c r="L17" s="33">
        <f>(N17+O17)*0.04</f>
        <v>108195.11055200003</v>
      </c>
      <c r="M17" s="33">
        <f t="shared" ref="M17:M29" si="1">147300*K17</f>
        <v>294600</v>
      </c>
      <c r="N17" s="34">
        <f t="shared" ref="N17:N29" si="2">K17*H17</f>
        <v>1152820.3796000008</v>
      </c>
      <c r="O17" s="34">
        <f t="shared" ref="O17:O29" si="3">K17*I17</f>
        <v>1552057.3842</v>
      </c>
      <c r="P17" s="34">
        <f t="shared" ref="P17" si="4">SUM(L17:O17)</f>
        <v>3107672.8743520007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589200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1379419.9254000008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1600447.7021999999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119194.70510400002</v>
      </c>
      <c r="Q33" s="32"/>
      <c r="R33" s="32"/>
    </row>
    <row r="34" spans="1:21" ht="16.5" customHeight="1" x14ac:dyDescent="0.25">
      <c r="A34" s="141"/>
      <c r="B34" s="164" t="s">
        <v>12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4">
        <f>SUM(P30:P33)</f>
        <v>3688262.3327040006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9" t="s">
        <v>0</v>
      </c>
      <c r="C38" s="169"/>
      <c r="D38" s="169"/>
      <c r="E38" s="169"/>
      <c r="F38" s="171" t="s">
        <v>337</v>
      </c>
      <c r="G38" s="171"/>
      <c r="H38" s="172"/>
      <c r="I38" s="177" t="s">
        <v>354</v>
      </c>
      <c r="J38" s="178"/>
      <c r="K38" s="167" t="s">
        <v>338</v>
      </c>
      <c r="L38" s="167"/>
      <c r="M38" s="167" t="s">
        <v>339</v>
      </c>
      <c r="N38" s="167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0" t="s">
        <v>319</v>
      </c>
      <c r="C39" s="170"/>
      <c r="D39" s="170"/>
      <c r="E39" s="170"/>
      <c r="F39" s="173">
        <f>P33+P30</f>
        <v>708394.70510400005</v>
      </c>
      <c r="G39" s="173"/>
      <c r="H39" s="174"/>
      <c r="I39" s="179">
        <f>VLOOKUP(H9,O39:P46,2,)</f>
        <v>1.0527260918901</v>
      </c>
      <c r="J39" s="180"/>
      <c r="K39" s="168">
        <f>F39*$I$39</f>
        <v>745745.5894197739</v>
      </c>
      <c r="L39" s="168"/>
      <c r="M39" s="168">
        <f>K39*1.2</f>
        <v>894894.70730372868</v>
      </c>
      <c r="N39" s="16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0" t="s">
        <v>2</v>
      </c>
      <c r="C40" s="170"/>
      <c r="D40" s="170"/>
      <c r="E40" s="170"/>
      <c r="F40" s="175">
        <f>P31</f>
        <v>1379419.9254000008</v>
      </c>
      <c r="G40" s="175"/>
      <c r="H40" s="176"/>
      <c r="I40" s="181"/>
      <c r="J40" s="182"/>
      <c r="K40" s="168">
        <f t="shared" ref="K40:K41" si="11">F40*$I$39</f>
        <v>1452151.3471416761</v>
      </c>
      <c r="L40" s="168"/>
      <c r="M40" s="168">
        <f>K40*1.2</f>
        <v>1742581.6165700112</v>
      </c>
      <c r="N40" s="16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0" t="s">
        <v>3</v>
      </c>
      <c r="C41" s="170"/>
      <c r="D41" s="170"/>
      <c r="E41" s="170"/>
      <c r="F41" s="175">
        <f>P32</f>
        <v>1600447.7021999999</v>
      </c>
      <c r="G41" s="175"/>
      <c r="H41" s="176"/>
      <c r="I41" s="181"/>
      <c r="J41" s="182"/>
      <c r="K41" s="168">
        <f t="shared" si="11"/>
        <v>1684833.0548114965</v>
      </c>
      <c r="L41" s="168"/>
      <c r="M41" s="190">
        <f t="shared" ref="M41" si="12">K41*1.2</f>
        <v>2021799.6657737957</v>
      </c>
      <c r="N41" s="190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0" t="s">
        <v>4</v>
      </c>
      <c r="C42" s="170"/>
      <c r="D42" s="170"/>
      <c r="E42" s="170"/>
      <c r="F42" s="175"/>
      <c r="G42" s="175"/>
      <c r="H42" s="176"/>
      <c r="I42" s="181"/>
      <c r="J42" s="182"/>
      <c r="K42" s="195">
        <f>SUM(F43:H45)*$I$39</f>
        <v>797512.74022800336</v>
      </c>
      <c r="L42" s="196"/>
      <c r="M42" s="195">
        <f>K42*1.2</f>
        <v>957015.288273604</v>
      </c>
      <c r="N42" s="196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1" t="s">
        <v>356</v>
      </c>
      <c r="C43" s="201"/>
      <c r="D43" s="201"/>
      <c r="E43" s="201"/>
      <c r="F43" s="199">
        <f>SUM(F39:H41)/100*P49</f>
        <v>78928.813919865628</v>
      </c>
      <c r="G43" s="199"/>
      <c r="H43" s="200"/>
      <c r="I43" s="181"/>
      <c r="J43" s="182"/>
      <c r="K43" s="197"/>
      <c r="L43" s="198"/>
      <c r="M43" s="197"/>
      <c r="N43" s="198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1" t="s">
        <v>358</v>
      </c>
      <c r="C44" s="201"/>
      <c r="D44" s="201"/>
      <c r="E44" s="201"/>
      <c r="F44" s="199">
        <f>SUM(F39:H41)/100*P50</f>
        <v>431526.69292636809</v>
      </c>
      <c r="G44" s="199"/>
      <c r="H44" s="200"/>
      <c r="I44" s="181"/>
      <c r="J44" s="182"/>
      <c r="K44" s="197"/>
      <c r="L44" s="198"/>
      <c r="M44" s="197"/>
      <c r="N44" s="198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2" t="s">
        <v>357</v>
      </c>
      <c r="C45" s="202"/>
      <c r="D45" s="202"/>
      <c r="E45" s="202"/>
      <c r="F45" s="199">
        <f>SUM(F39:H41)/100*P51</f>
        <v>247113.57629116808</v>
      </c>
      <c r="G45" s="199"/>
      <c r="H45" s="200"/>
      <c r="I45" s="181"/>
      <c r="J45" s="182"/>
      <c r="K45" s="197"/>
      <c r="L45" s="198"/>
      <c r="M45" s="197"/>
      <c r="N45" s="198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3" t="s">
        <v>81</v>
      </c>
      <c r="B46" s="203"/>
      <c r="C46" s="203"/>
      <c r="D46" s="203"/>
      <c r="E46" s="203"/>
      <c r="F46" s="194">
        <f>SUM(F39:H45)</f>
        <v>4445831.4158414025</v>
      </c>
      <c r="G46" s="194"/>
      <c r="H46" s="194"/>
      <c r="I46" s="194"/>
      <c r="J46" s="194"/>
      <c r="K46" s="193">
        <f>SUM(K39:L45)</f>
        <v>4680242.7316009495</v>
      </c>
      <c r="L46" s="193"/>
      <c r="M46" s="193">
        <f>SUM(M39:N45)</f>
        <v>5616291.2779211393</v>
      </c>
      <c r="N46" s="19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2" t="s">
        <v>342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2" t="s">
        <v>345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1" t="s">
        <v>343</v>
      </c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1" t="s">
        <v>344</v>
      </c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53" sqref="B53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2024-02-21T13:31:07Z</dcterms:modified>
</cp:coreProperties>
</file>