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4-1-17-1-08-03-0-0287\"/>
    </mc:Choice>
  </mc:AlternateContent>
  <xr:revisionPtr revIDLastSave="0" documentId="13_ncr:1_{A58166A9-75E3-4817-B0B1-F119AAE3A7CC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l="1"/>
  <c r="P45" i="4" s="1"/>
  <c r="P46" i="4" s="1"/>
  <c r="I39" i="4" l="1"/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P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 s="1"/>
  <c r="L160" i="5" s="1"/>
  <c r="N159" i="5"/>
  <c r="H159" i="5"/>
  <c r="E159" i="5"/>
  <c r="P159" i="5" s="1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N81" i="5"/>
  <c r="E81" i="5"/>
  <c r="P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80" i="5" l="1"/>
  <c r="L80" i="5" s="1"/>
  <c r="C83" i="5"/>
  <c r="L83" i="5" s="1"/>
  <c r="C186" i="5"/>
  <c r="L186" i="5" s="1"/>
  <c r="C98" i="5"/>
  <c r="L98" i="5" s="1"/>
  <c r="C152" i="5"/>
  <c r="L152" i="5" s="1"/>
  <c r="C174" i="5"/>
  <c r="L174" i="5" s="1"/>
  <c r="C116" i="5"/>
  <c r="L116" i="5" s="1"/>
  <c r="I116" i="5" s="1"/>
  <c r="J116" i="5" s="1"/>
  <c r="C167" i="5"/>
  <c r="L167" i="5" s="1"/>
  <c r="I167" i="5" s="1"/>
  <c r="J167" i="5" s="1"/>
  <c r="P4" i="5"/>
  <c r="P148" i="5"/>
  <c r="I148" i="5" s="1"/>
  <c r="J148" i="5" s="1"/>
  <c r="I54" i="5"/>
  <c r="J54" i="5" s="1"/>
  <c r="I83" i="5"/>
  <c r="J83" i="5" s="1"/>
  <c r="C3" i="5"/>
  <c r="L3" i="5" s="1"/>
  <c r="C8" i="5"/>
  <c r="L8" i="5" s="1"/>
  <c r="I8" i="5" s="1"/>
  <c r="J8" i="5" s="1"/>
  <c r="C82" i="5"/>
  <c r="L82" i="5" s="1"/>
  <c r="I82" i="5" s="1"/>
  <c r="J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P120" i="5"/>
  <c r="I120" i="5" s="1"/>
  <c r="J120" i="5" s="1"/>
  <c r="P158" i="5"/>
  <c r="I158" i="5" s="1"/>
  <c r="J158" i="5" s="1"/>
  <c r="C163" i="5"/>
  <c r="L163" i="5" s="1"/>
  <c r="I163" i="5" s="1"/>
  <c r="J163" i="5" s="1"/>
  <c r="P118" i="5"/>
  <c r="I118" i="5" s="1"/>
  <c r="J118" i="5" s="1"/>
  <c r="I292" i="5"/>
  <c r="S292" i="5" s="1"/>
  <c r="C81" i="5"/>
  <c r="L81" i="5" s="1"/>
  <c r="I81" i="5" s="1"/>
  <c r="J81" i="5" s="1"/>
  <c r="C104" i="5"/>
  <c r="L104" i="5" s="1"/>
  <c r="C88" i="5"/>
  <c r="L88" i="5" s="1"/>
  <c r="C86" i="5"/>
  <c r="L86" i="5" s="1"/>
  <c r="I86" i="5" s="1"/>
  <c r="J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I183" i="5" s="1"/>
  <c r="J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I102" i="5" s="1"/>
  <c r="J102" i="5" s="1"/>
  <c r="C105" i="5"/>
  <c r="L105" i="5" s="1"/>
  <c r="I105" i="5" s="1"/>
  <c r="J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I9" i="5" s="1"/>
  <c r="J9" i="5" s="1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I149" i="5" s="1"/>
  <c r="J149" i="5" s="1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I195" i="5" s="1"/>
  <c r="J195" i="5" s="1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98" i="5"/>
  <c r="J98" i="5" s="1"/>
  <c r="I145" i="5"/>
  <c r="J145" i="5" s="1"/>
  <c r="I159" i="5"/>
  <c r="J159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J292" i="5" l="1"/>
  <c r="S291" i="5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H18" i="4" l="1"/>
  <c r="N18" i="4" s="1"/>
  <c r="L18" i="4" s="1"/>
  <c r="P25" i="4"/>
  <c r="P24" i="4"/>
  <c r="P26" i="4"/>
  <c r="P27" i="4"/>
  <c r="P28" i="4"/>
  <c r="P20" i="4"/>
  <c r="P21" i="4"/>
  <c r="P22" i="4"/>
  <c r="P19" i="4"/>
  <c r="N23" i="4"/>
  <c r="L23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<sst xmlns="http://schemas.openxmlformats.org/spreadsheetml/2006/main" count="405" uniqueCount="366">
  <si>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</si>
  <si>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</si>
  <si>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</si>
  <si>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</si>
  <si>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</si>
  <si>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</si>
  <si>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</si>
  <si>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</si>
  <si>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</si>
  <si>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</si>
  <si>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</si>
  <si>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</si>
  <si>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</si>
  <si>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</si>
  <si>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</si>
  <si>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</si>
  <si>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</si>
  <si>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</si>
  <si>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</si>
  <si>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</si>
  <si>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</si>
  <si>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</si>
  <si>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</si>
  <si>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</si>
  <si>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</si>
  <si>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</si>
  <si>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</si>
  <si>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</si>
  <si>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</si>
  <si>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</si>
  <si>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</si>
  <si>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</si>
  <si>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</si>
  <si>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</si>
  <si>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</si>
  <si>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</si>
  <si>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</si>
  <si>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</si>
  <si>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</si>
  <si>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</si>
  <si>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</si>
  <si>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</si>
  <si>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</si>
  <si>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</si>
  <si>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</si>
  <si>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</si>
  <si>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</si>
  <si>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</si>
  <si>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</si>
  <si>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</si>
  <si>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</si>
  <si>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</si>
  <si>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</si>
  <si>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</si>
  <si>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</si>
  <si>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</si>
  <si>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</si>
  <si>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</si>
  <si>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</si>
  <si>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</si>
  <si>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</si>
  <si>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</si>
  <si>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</si>
  <si>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</si>
  <si>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</si>
  <si>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</si>
  <si>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</si>
  <si>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</si>
  <si>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</si>
  <si>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</si>
  <si>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</si>
  <si>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</si>
  <si>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</si>
  <si>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</si>
  <si>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</si>
  <si>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</si>
  <si>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</si>
  <si>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</si>
  <si>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</si>
  <si>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</si>
  <si>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</si>
  <si>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</si>
  <si>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</si>
  <si>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</si>
  <si>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</si>
  <si>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</si>
  <si>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</si>
  <si>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</si>
  <si>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</si>
  <si>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</si>
  <si>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</si>
  <si>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</si>
  <si>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</si>
  <si>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</si>
  <si>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</si>
  <si>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</si>
  <si>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</si>
  <si>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</si>
  <si>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</si>
  <si>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</si>
  <si>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</si>
  <si>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</si>
  <si>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</si>
  <si>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</si>
  <si>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</si>
  <si>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</si>
  <si>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</si>
  <si>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</si>
  <si>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</si>
  <si>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</si>
  <si>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</si>
  <si>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</si>
  <si>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</si>
  <si>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</si>
  <si>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</si>
  <si>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</si>
  <si>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</si>
  <si>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</si>
  <si>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</si>
  <si>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</si>
  <si>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</si>
  <si>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</si>
  <si>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</si>
  <si>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</si>
  <si>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</si>
  <si>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</si>
  <si>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</si>
  <si>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</si>
  <si>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</si>
  <si>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</si>
  <si>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</si>
  <si>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</si>
  <si>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</si>
  <si>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</si>
  <si>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</si>
  <si>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</si>
  <si>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</si>
  <si>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</si>
  <si>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</si>
  <si>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</si>
  <si>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</si>
  <si>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</si>
  <si>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</si>
  <si>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</si>
  <si>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</si>
  <si>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</si>
  <si>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</si>
  <si>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</si>
  <si>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</si>
  <si>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</si>
  <si>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</si>
  <si>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</si>
  <si>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</si>
  <si>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</si>
  <si>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</si>
  <si>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</si>
  <si>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</si>
  <si>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</si>
  <si>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</si>
  <si>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</si>
  <si>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</si>
  <si>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</si>
  <si>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</si>
  <si>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</si>
  <si>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</si>
  <si>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</si>
  <si>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</si>
  <si>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</si>
  <si>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</si>
  <si>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</si>
  <si>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</si>
  <si>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</si>
  <si>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</si>
  <si>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</si>
  <si>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</si>
  <si>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</si>
  <si>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</si>
  <si>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</si>
  <si>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</si>
  <si>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</si>
  <si>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</si>
  <si>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</si>
  <si>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</si>
  <si>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</si>
  <si>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</si>
  <si>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</si>
  <si>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</si>
  <si>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</si>
  <si>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</si>
  <si>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</si>
  <si>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</si>
  <si>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</si>
  <si>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</si>
  <si>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</si>
  <si>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</si>
  <si>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</si>
  <si>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</si>
  <si>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</si>
  <si>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</si>
  <si>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</si>
  <si>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</si>
  <si>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</si>
  <si>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</si>
  <si>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</si>
  <si>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</si>
  <si>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</si>
  <si>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</si>
  <si>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</si>
  <si>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</si>
  <si>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</si>
  <si>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</si>
  <si>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</si>
  <si>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</si>
  <si>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</si>
  <si>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</si>
  <si>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</si>
  <si>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</si>
  <si>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</si>
  <si>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</si>
  <si>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</si>
  <si>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</si>
  <si>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</si>
  <si>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</si>
  <si>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</si>
  <si>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</si>
  <si>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</si>
  <si>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</si>
  <si>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</si>
  <si>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</si>
  <si>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</si>
  <si>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</si>
  <si>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</si>
  <si>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</si>
  <si>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</si>
  <si>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</si>
  <si>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</si>
  <si>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</si>
  <si>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</si>
  <si>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</si>
  <si>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</si>
  <si>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</si>
  <si>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</si>
  <si>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</si>
  <si>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</si>
  <si>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</si>
  <si>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</si>
  <si>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</si>
  <si>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</si>
  <si>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</si>
  <si>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</si>
  <si>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</si>
  <si>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</si>
  <si>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</si>
  <si>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</si>
  <si>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</si>
  <si>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</si>
  <si>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</si>
  <si>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</si>
  <si>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</si>
  <si>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</si>
  <si>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</si>
  <si>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</si>
  <si>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</si>
  <si>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</si>
  <si>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</si>
  <si>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</si>
  <si>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</si>
  <si>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</si>
  <si>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</si>
  <si>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</si>
  <si>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</si>
  <si>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</si>
  <si>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</si>
  <si>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</si>
  <si>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</si>
  <si>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</si>
  <si>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</si>
  <si>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</si>
  <si>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</si>
  <si>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</si>
  <si>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</si>
  <si>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</si>
  <si>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</si>
  <si>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</si>
  <si>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</si>
  <si>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</si>
  <si>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</si>
  <si>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</si>
  <si>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</si>
  <si>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</si>
  <si>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</si>
  <si>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</si>
  <si>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</si>
  <si>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</si>
  <si>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</si>
  <si>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</si>
  <si>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</si>
  <si>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</si>
  <si>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</si>
  <si>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</si>
  <si>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</si>
  <si>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</si>
  <si>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</si>
  <si>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</si>
  <si>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</si>
  <si>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</si>
  <si>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</si>
  <si>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</si>
  <si>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</si>
  <si>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</si>
  <si>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</si>
  <si>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</si>
  <si>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</si>
  <si>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</si>
  <si>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</si>
  <si>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</si>
  <si>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</si>
  <si>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</si>
  <si>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</si>
  <si>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</si>
  <si>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</si>
  <si>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</si>
  <si>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</si>
  <si>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</si>
  <si>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</si>
  <si>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</si>
  <si>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</si>
  <si>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</si>
  <si>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</si>
  <si>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</si>
  <si>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</si>
  <si>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</si>
  <si>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</si>
  <si>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</si>
  <si>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</si>
  <si>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</si>
  <si>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</si>
  <si>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</si>
  <si>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</si>
  <si>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</si>
  <si>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</si>
  <si>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</si>
  <si>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</si>
  <si>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</si>
  <si>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</si>
  <si>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</si>
  <si>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</si>
  <si>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</si>
  <si>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</si>
  <si>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</si>
  <si>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</si>
  <si>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</si>
  <si>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</si>
  <si>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</si>
  <si>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</si>
  <si>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</si>
  <si>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</si>
  <si>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</si>
  <si>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</si>
  <si>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</si>
  <si>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</si>
  <si>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</si>
  <si>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</si>
  <si>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км.</t>
  </si>
  <si>
    <t>Строительство 2КЛ-0,4 кВ протяженностью 0,25 км по договору ТП №17-080/005-ПС-23 (ООО ''Специализированный застройщик Адонис'') д. Янино-1</t>
  </si>
  <si>
    <t>O_24-1-17-1-08-03-0-0287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</si>
</sst>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7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4" fontId="8" fillId="0" borderId="3" xfId="0" applyNumberFormat="1" applyFont="1" applyFill="1" applyBorder="1" applyAlignment="1">
      <alignment horizontal="center" vertical="center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AC30" sqref="AC30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7" t="s">
        <v>364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</row>
    <row r="6" spans="1:22" ht="10.5" customHeight="1" x14ac:dyDescent="0.25"/>
    <row r="7" spans="1:22" ht="13.5" customHeight="1" x14ac:dyDescent="0.25">
      <c r="A7" s="6" t="s">
        <v>5</v>
      </c>
      <c r="H7" s="206" t="s">
        <v>365</v>
      </c>
      <c r="I7" s="206"/>
      <c r="J7" s="206"/>
      <c r="K7" s="206"/>
      <c r="L7" s="206"/>
      <c r="M7" s="206"/>
      <c r="N7" s="206"/>
      <c r="O7" s="206"/>
      <c r="P7" s="206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1" t="s">
        <v>76</v>
      </c>
      <c r="I9" s="191"/>
      <c r="J9" s="191"/>
      <c r="K9" s="191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89" t="s">
        <v>6</v>
      </c>
      <c r="B13" s="189" t="s">
        <v>9</v>
      </c>
      <c r="C13" s="189" t="s">
        <v>334</v>
      </c>
      <c r="D13" s="189" t="s">
        <v>349</v>
      </c>
      <c r="E13" s="189"/>
      <c r="F13" s="189"/>
      <c r="G13" s="189"/>
      <c r="H13" s="189" t="s">
        <v>335</v>
      </c>
      <c r="I13" s="189" t="s">
        <v>348</v>
      </c>
      <c r="J13" s="189" t="s">
        <v>7</v>
      </c>
      <c r="K13" s="190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6" t="s">
        <v>337</v>
      </c>
      <c r="Q13" s="24"/>
    </row>
    <row r="14" spans="1:22" ht="38.25" customHeight="1" x14ac:dyDescent="0.25">
      <c r="A14" s="189"/>
      <c r="B14" s="189"/>
      <c r="C14" s="189"/>
      <c r="D14" s="136" t="s">
        <v>89</v>
      </c>
      <c r="E14" s="136" t="s">
        <v>91</v>
      </c>
      <c r="F14" s="136" t="s">
        <v>93</v>
      </c>
      <c r="G14" s="136" t="s">
        <v>318</v>
      </c>
      <c r="H14" s="189"/>
      <c r="I14" s="189"/>
      <c r="J14" s="189"/>
      <c r="K14" s="190"/>
      <c r="L14" s="136" t="s">
        <v>1</v>
      </c>
      <c r="M14" s="136" t="s">
        <v>317</v>
      </c>
      <c r="N14" s="136" t="s">
        <v>2</v>
      </c>
      <c r="O14" s="136" t="s">
        <v>3</v>
      </c>
      <c r="P14" s="186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39"/>
      <c r="R15" s="139"/>
      <c r="S15" s="139"/>
      <c r="T15" s="139"/>
      <c r="U15" s="39"/>
      <c r="V15" s="17"/>
    </row>
    <row r="16" spans="1:22" ht="24" customHeight="1" x14ac:dyDescent="0.25">
      <c r="A16" s="10"/>
      <c r="B16" s="164" t="s">
        <v>185</v>
      </c>
      <c r="C16" s="37">
        <f>VLOOKUP($B$16:$B$29,'Наименование работ'!B:G,6,)</f>
        <v>1235355.8600000001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8.27</v>
      </c>
      <c r="F16" s="37">
        <f>VLOOKUP($B$16:$B$29,'Наименование работ'!B:O,14,)</f>
        <v>3.76</v>
      </c>
      <c r="G16" s="37">
        <f>VLOOKUP($B$16:$B$29,'Наименование работ'!B:Q,16,)</f>
        <v>0</v>
      </c>
      <c r="H16" s="36">
        <f>VLOOKUP(B16:B29,'Наименование работ'!B:S,18,)</f>
        <v>8077572.9096000008</v>
      </c>
      <c r="I16" s="36">
        <f>VLOOKUP($B$16:$B$29,'Наименование работ'!B:R,17,)</f>
        <v>0</v>
      </c>
      <c r="J16" s="38" t="s">
        <v>363</v>
      </c>
      <c r="K16" s="149">
        <v>0.25</v>
      </c>
      <c r="L16" s="33">
        <f>(N16+O16)*0.1</f>
        <v>201939.32274000003</v>
      </c>
      <c r="M16" s="33">
        <f>147300*K16</f>
        <v>36825</v>
      </c>
      <c r="N16" s="34">
        <f>K16*H16</f>
        <v>2019393.2274000002</v>
      </c>
      <c r="O16" s="34">
        <f>K16*I16</f>
        <v>0</v>
      </c>
      <c r="P16" s="34">
        <f t="shared" ref="P16" si="0">SUM(L16:O16)</f>
        <v>2258157.5501400004</v>
      </c>
      <c r="Q16" s="25"/>
      <c r="R16" s="25"/>
      <c r="S16" s="25"/>
      <c r="T16" s="25"/>
      <c r="U16" s="20"/>
      <c r="V16" s="17"/>
    </row>
    <row r="17" spans="1:22" ht="24" hidden="1" customHeight="1" x14ac:dyDescent="0.25">
      <c r="A17" s="10"/>
      <c r="B17" s="40" t="s">
        <v>330</v>
      </c>
      <c r="C17" s="37">
        <f>VLOOKUP($B$16:$B$29,'Наименование работ'!B:G,6,)</f>
        <v>0</v>
      </c>
      <c r="D17" s="37">
        <f>VLOOKUP($B$16:$B$29,'Наименование работ'!B:K,10,)</f>
        <v>0</v>
      </c>
      <c r="E17" s="37">
        <f>VLOOKUP($B$16:$B$29,'Наименование работ'!B:M,12,)</f>
        <v>0</v>
      </c>
      <c r="F17" s="37">
        <f>VLOOKUP($B$16:$B$29,'Наименование работ'!B:O,14,)</f>
        <v>0</v>
      </c>
      <c r="G17" s="37">
        <f>VLOOKUP($B$16:$B$29,'Наименование работ'!B:Q,16,)</f>
        <v>0</v>
      </c>
      <c r="H17" s="36">
        <f>VLOOKUP(B17:B30,'Наименование работ'!B:S,18,)</f>
        <v>0</v>
      </c>
      <c r="I17" s="36">
        <f>VLOOKUP($B$16:$B$29,'Наименование работ'!B:R,17,)</f>
        <v>0</v>
      </c>
      <c r="J17" s="38" t="s">
        <v>352</v>
      </c>
      <c r="K17" s="156">
        <v>0</v>
      </c>
      <c r="L17" s="33">
        <f>(N17+O17)*0.04</f>
        <v>0</v>
      </c>
      <c r="M17" s="33">
        <f t="shared" ref="M17:M29" si="1">147300*K17</f>
        <v>0</v>
      </c>
      <c r="N17" s="34">
        <f t="shared" ref="N17:N29" si="2">K17*H17</f>
        <v>0</v>
      </c>
      <c r="O17" s="34">
        <f t="shared" ref="O17:O29" si="3">K17*I17</f>
        <v>0</v>
      </c>
      <c r="P17" s="34">
        <f t="shared" ref="P17" si="4">SUM(L17:O17)</f>
        <v>0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330</v>
      </c>
      <c r="C18" s="37">
        <f>VLOOKUP($B$16:$B$29,'Наименование работ'!B:G,6,)</f>
        <v>0</v>
      </c>
      <c r="D18" s="37">
        <f>VLOOKUP($B$16:$B$29,'Наименование работ'!B:K,10,)</f>
        <v>0</v>
      </c>
      <c r="E18" s="37">
        <f>VLOOKUP($B$16:$B$29,'Наименование работ'!B:M,12,)</f>
        <v>0</v>
      </c>
      <c r="F18" s="37">
        <f>VLOOKUP($B$16:$B$29,'Наименование работ'!B:O,14,)</f>
        <v>0</v>
      </c>
      <c r="G18" s="37">
        <f>VLOOKUP($B$16:$B$29,'Наименование работ'!B:Q,16,)</f>
        <v>0</v>
      </c>
      <c r="H18" s="36">
        <f>VLOOKUP(B18:B31,'Наименование работ'!B:S,18,)</f>
        <v>0</v>
      </c>
      <c r="I18" s="36">
        <f>VLOOKUP($B$16:$B$29,'Наименование работ'!B:R,17,)</f>
        <v>0</v>
      </c>
      <c r="J18" s="38" t="s">
        <v>353</v>
      </c>
      <c r="K18" s="156">
        <v>0</v>
      </c>
      <c r="L18" s="33">
        <f t="shared" ref="L18:L29" si="5">(N18+O18)*0.08</f>
        <v>0</v>
      </c>
      <c r="M18" s="33">
        <f t="shared" si="1"/>
        <v>0</v>
      </c>
      <c r="N18" s="34">
        <f t="shared" si="2"/>
        <v>0</v>
      </c>
      <c r="O18" s="34">
        <f t="shared" si="3"/>
        <v>0</v>
      </c>
      <c r="P18" s="34">
        <f t="shared" ref="P18" si="6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353</v>
      </c>
      <c r="K19" s="156">
        <v>0</v>
      </c>
      <c r="L19" s="33">
        <f>(N19+O19)*0.04</f>
        <v>0</v>
      </c>
      <c r="M19" s="33">
        <f t="shared" si="1"/>
        <v>0</v>
      </c>
      <c r="N19" s="34">
        <f t="shared" si="2"/>
        <v>0</v>
      </c>
      <c r="O19" s="34">
        <f t="shared" si="3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353</v>
      </c>
      <c r="K20" s="156">
        <v>0</v>
      </c>
      <c r="L20" s="33">
        <f>(N20+O20)*0.04</f>
        <v>0</v>
      </c>
      <c r="M20" s="33">
        <f t="shared" si="1"/>
        <v>0</v>
      </c>
      <c r="N20" s="34">
        <f t="shared" si="2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si="5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1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1"/>
        <v>0</v>
      </c>
      <c r="N24" s="34">
        <f t="shared" ref="N24:N28" si="8">K24*H24</f>
        <v>0</v>
      </c>
      <c r="O24" s="34">
        <f t="shared" si="3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79" t="s">
        <v>317</v>
      </c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1"/>
      <c r="P30" s="34">
        <f>SUM(M16:M29)</f>
        <v>36825</v>
      </c>
    </row>
    <row r="31" spans="1:22" ht="16.5" customHeight="1" x14ac:dyDescent="0.25">
      <c r="A31" s="141"/>
      <c r="B31" s="179" t="s">
        <v>2</v>
      </c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1"/>
      <c r="P31" s="35">
        <f>SUM(N16:N29)</f>
        <v>2019393.2274000002</v>
      </c>
    </row>
    <row r="32" spans="1:22" ht="16.5" customHeight="1" x14ac:dyDescent="0.25">
      <c r="A32" s="141"/>
      <c r="B32" s="179" t="s">
        <v>3</v>
      </c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1"/>
      <c r="P32" s="35">
        <f>SUM(O16:O29)</f>
        <v>0</v>
      </c>
    </row>
    <row r="33" spans="1:21" ht="16.5" customHeight="1" x14ac:dyDescent="0.25">
      <c r="A33" s="141"/>
      <c r="B33" s="179" t="s">
        <v>346</v>
      </c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1"/>
      <c r="P33" s="35">
        <f>SUM(L16:L29)</f>
        <v>201939.32274000003</v>
      </c>
      <c r="Q33" s="32"/>
      <c r="R33" s="32"/>
    </row>
    <row r="34" spans="1:21" ht="16.5" customHeight="1" x14ac:dyDescent="0.25">
      <c r="A34" s="141"/>
      <c r="B34" s="193" t="s">
        <v>12</v>
      </c>
      <c r="C34" s="194"/>
      <c r="D34" s="194"/>
      <c r="E34" s="194"/>
      <c r="F34" s="194"/>
      <c r="G34" s="194"/>
      <c r="H34" s="194"/>
      <c r="I34" s="194"/>
      <c r="J34" s="194"/>
      <c r="K34" s="194"/>
      <c r="L34" s="194"/>
      <c r="M34" s="194"/>
      <c r="N34" s="194"/>
      <c r="O34" s="195"/>
      <c r="P34" s="34">
        <f>SUM(P30:P33)</f>
        <v>2258157.5501400004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89" t="s">
        <v>0</v>
      </c>
      <c r="C38" s="189"/>
      <c r="D38" s="189"/>
      <c r="E38" s="189"/>
      <c r="F38" s="196" t="s">
        <v>337</v>
      </c>
      <c r="G38" s="196"/>
      <c r="H38" s="197"/>
      <c r="I38" s="200" t="s">
        <v>354</v>
      </c>
      <c r="J38" s="201"/>
      <c r="K38" s="190" t="s">
        <v>338</v>
      </c>
      <c r="L38" s="190"/>
      <c r="M38" s="190" t="s">
        <v>339</v>
      </c>
      <c r="N38" s="190"/>
      <c r="O38" s="153"/>
      <c r="P38" s="153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67" t="s">
        <v>319</v>
      </c>
      <c r="C39" s="167"/>
      <c r="D39" s="167"/>
      <c r="E39" s="167"/>
      <c r="F39" s="198">
        <f>P33+P30</f>
        <v>238764.32274000003</v>
      </c>
      <c r="G39" s="198"/>
      <c r="H39" s="199"/>
      <c r="I39" s="202">
        <f>VLOOKUP(H9,O39:P46,2,)</f>
        <v>1.0527260918901</v>
      </c>
      <c r="J39" s="203"/>
      <c r="K39" s="184">
        <f>F39*$I$39</f>
        <v>251353.43236086678</v>
      </c>
      <c r="L39" s="184"/>
      <c r="M39" s="184">
        <f>K39*1.2</f>
        <v>301624.11883304012</v>
      </c>
      <c r="N39" s="184"/>
      <c r="O39" s="157" t="s">
        <v>74</v>
      </c>
      <c r="P39" s="158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67" t="s">
        <v>2</v>
      </c>
      <c r="C40" s="167"/>
      <c r="D40" s="167"/>
      <c r="E40" s="167"/>
      <c r="F40" s="182">
        <f>P31</f>
        <v>2019393.2274000002</v>
      </c>
      <c r="G40" s="182"/>
      <c r="H40" s="183"/>
      <c r="I40" s="204"/>
      <c r="J40" s="205"/>
      <c r="K40" s="184">
        <f t="shared" ref="K40:K41" si="11">F40*$I$39</f>
        <v>2125867.9402701384</v>
      </c>
      <c r="L40" s="184"/>
      <c r="M40" s="184">
        <f>K40*1.2</f>
        <v>2551041.5283241658</v>
      </c>
      <c r="N40" s="184"/>
      <c r="O40" s="157" t="s">
        <v>75</v>
      </c>
      <c r="P40" s="158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67" t="s">
        <v>3</v>
      </c>
      <c r="C41" s="167"/>
      <c r="D41" s="167"/>
      <c r="E41" s="167"/>
      <c r="F41" s="182">
        <f>P32</f>
        <v>0</v>
      </c>
      <c r="G41" s="182"/>
      <c r="H41" s="183"/>
      <c r="I41" s="204"/>
      <c r="J41" s="205"/>
      <c r="K41" s="184">
        <f t="shared" si="11"/>
        <v>0</v>
      </c>
      <c r="L41" s="184"/>
      <c r="M41" s="185">
        <f t="shared" ref="M41" si="12">K41*1.2</f>
        <v>0</v>
      </c>
      <c r="N41" s="185"/>
      <c r="O41" s="157" t="s">
        <v>76</v>
      </c>
      <c r="P41" s="158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67" t="s">
        <v>4</v>
      </c>
      <c r="C42" s="167"/>
      <c r="D42" s="167"/>
      <c r="E42" s="167"/>
      <c r="F42" s="182"/>
      <c r="G42" s="182"/>
      <c r="H42" s="183"/>
      <c r="I42" s="204"/>
      <c r="J42" s="205"/>
      <c r="K42" s="168">
        <f>SUM(F43:H45)*$I$39</f>
        <v>488281.26993840846</v>
      </c>
      <c r="L42" s="169"/>
      <c r="M42" s="168">
        <f>K42*1.2</f>
        <v>585937.5239260901</v>
      </c>
      <c r="N42" s="169"/>
      <c r="O42" s="157" t="s">
        <v>77</v>
      </c>
      <c r="P42" s="158">
        <v>1.04761984318213</v>
      </c>
      <c r="Q42" s="155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174" t="s">
        <v>356</v>
      </c>
      <c r="C43" s="174"/>
      <c r="D43" s="174"/>
      <c r="E43" s="174"/>
      <c r="F43" s="172">
        <f>SUM(F39:H41)/100*P49</f>
        <v>48324.571572996007</v>
      </c>
      <c r="G43" s="172"/>
      <c r="H43" s="173"/>
      <c r="I43" s="204"/>
      <c r="J43" s="205"/>
      <c r="K43" s="170"/>
      <c r="L43" s="171"/>
      <c r="M43" s="170"/>
      <c r="N43" s="171"/>
      <c r="O43" s="159" t="s">
        <v>359</v>
      </c>
      <c r="P43" s="158">
        <f>1.0457995653007*P42</f>
        <v>1.0956003766002589</v>
      </c>
      <c r="Q43" s="155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174" t="s">
        <v>358</v>
      </c>
      <c r="C44" s="174"/>
      <c r="D44" s="174"/>
      <c r="E44" s="174"/>
      <c r="F44" s="172">
        <f>SUM(F39:H41)/100*P50</f>
        <v>264204.43336637999</v>
      </c>
      <c r="G44" s="172"/>
      <c r="H44" s="173"/>
      <c r="I44" s="204"/>
      <c r="J44" s="205"/>
      <c r="K44" s="170"/>
      <c r="L44" s="171"/>
      <c r="M44" s="170"/>
      <c r="N44" s="171"/>
      <c r="O44" s="159" t="s">
        <v>360</v>
      </c>
      <c r="P44" s="158">
        <f>1.0457995653007*P43</f>
        <v>1.1457783975918339</v>
      </c>
      <c r="Q44" s="155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175" t="s">
        <v>357</v>
      </c>
      <c r="C45" s="175"/>
      <c r="D45" s="175"/>
      <c r="E45" s="175"/>
      <c r="F45" s="172">
        <f>SUM(F39:H41)/100*P51</f>
        <v>151296.55585938002</v>
      </c>
      <c r="G45" s="172"/>
      <c r="H45" s="173"/>
      <c r="I45" s="204"/>
      <c r="J45" s="205"/>
      <c r="K45" s="170"/>
      <c r="L45" s="171"/>
      <c r="M45" s="170"/>
      <c r="N45" s="171"/>
      <c r="O45" s="159" t="s">
        <v>361</v>
      </c>
      <c r="P45" s="158">
        <f>1.0457995653007*P44</f>
        <v>1.1982545501324724</v>
      </c>
      <c r="Q45" s="155"/>
      <c r="R45" s="151"/>
      <c r="S45" s="22"/>
      <c r="T45" s="22"/>
      <c r="U45" s="22"/>
    </row>
    <row r="46" spans="1:21" ht="14.25" customHeight="1" x14ac:dyDescent="0.25">
      <c r="A46" s="176" t="s">
        <v>81</v>
      </c>
      <c r="B46" s="176"/>
      <c r="C46" s="176"/>
      <c r="D46" s="176"/>
      <c r="E46" s="176"/>
      <c r="F46" s="166">
        <f>SUM(F39:H45)</f>
        <v>2721983.1109387567</v>
      </c>
      <c r="G46" s="166"/>
      <c r="H46" s="166"/>
      <c r="I46" s="166"/>
      <c r="J46" s="166"/>
      <c r="K46" s="165">
        <f>SUM(K39:L45)</f>
        <v>2865502.6425694134</v>
      </c>
      <c r="L46" s="165"/>
      <c r="M46" s="165">
        <f>SUM(M39:N45)</f>
        <v>3438603.1710832962</v>
      </c>
      <c r="N46" s="165"/>
      <c r="O46" s="159" t="s">
        <v>362</v>
      </c>
      <c r="P46" s="158">
        <f>1.0457995653007*P45</f>
        <v>1.2531340876481254</v>
      </c>
      <c r="Q46" s="155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9"/>
      <c r="P47" s="160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9"/>
      <c r="P48" s="161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78" t="s">
        <v>342</v>
      </c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59"/>
      <c r="P49" s="162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78" t="s">
        <v>345</v>
      </c>
      <c r="C50" s="178"/>
      <c r="D50" s="178"/>
      <c r="E50" s="178"/>
      <c r="F50" s="178"/>
      <c r="G50" s="178"/>
      <c r="H50" s="178"/>
      <c r="I50" s="178"/>
      <c r="J50" s="178"/>
      <c r="K50" s="178"/>
      <c r="L50" s="178"/>
      <c r="M50" s="178"/>
      <c r="N50" s="178"/>
      <c r="O50" s="159"/>
      <c r="P50" s="162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77" t="s">
        <v>343</v>
      </c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  <c r="O51" s="159"/>
      <c r="P51" s="163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77" t="s">
        <v>344</v>
      </c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  <c r="O52" s="154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107" sqref="B107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hidden="1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hidden="1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hidden="1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hidden="1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hidden="1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hidden="1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hidden="1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hidden="1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hidden="1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hidden="1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hidden="1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hidden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hidden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hidden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hidden="1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hidden="1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hidden="1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hidden="1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hidden="1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hidden="1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hidden="1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hidden="1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hidden="1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hidden="1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hidden="1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hidden="1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hidden="1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hidden="1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hidden="1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hidden="1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hidden="1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hidden="1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hidden="1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hidden="1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hidden="1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hidden="1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hidden="1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hidden="1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hidden="1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hidden="1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hidden="1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hidden="1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hidden="1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hidden="1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hidden="1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hidden="1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hidden="1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hidden="1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hidden="1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hidden="1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hidden="1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hidden="1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hidden="1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hidden="1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hidden="1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hidden="1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hidden="1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hidden="1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hidden="1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hidden="1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hidden="1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hidden="1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hidden="1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hidden="1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hidden="1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hidden="1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hidden="1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hidden="1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hidden="1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hidden="1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hidden="1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hidden="1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hidden="1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hidden="1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hidden="1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idden="1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hidden="1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hidden="1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hidden="1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hidden="1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hidden="1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hidden="1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hidden="1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hidden="1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hidden="1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hidden="1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hidden="1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hidden="1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hidden="1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hidden="1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hidden="1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hidden="1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idden="1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hidden="1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hidden="1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hidden="1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hidden="1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hidden="1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hidden="1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idden="1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hidden="1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hidden="1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hidden="1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hidden="1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hidden="1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idden="1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idden="1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idden="1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idden="1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hidden="1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hidden="1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hidden="1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hidden="1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hidden="1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hidden="1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Реконструкция КЛ-0,4  (АПВБбШп 4х240-1кВ)"/>
        <filter val="Реконструкция КЛ-0,4 два кабеля в траншее (АПВБбШп 4х240-1кВ)"/>
        <filter val="Строительство 100 м КЛ-0,4  (АПВБбШп 4х240-1кВ)"/>
        <filter val="Строительство 100 мКЛ-0,4 два кабеля в траншее (АПВБбШп 4х240-1кВ)"/>
        <filter val="Строительство КЛ-0,4  (АПВБбШп 4х240-1кВ)"/>
        <filter val="Строительство КЛ-0,4 два кабеля в траншее (АПВБбШп 4х240-1кВ)"/>
        <filter val="Строительство КЛ-0,4 четыре кабеля в траншее (АПВБШп 4х240-1кВ)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2024-02-22T07:21:11Z</dcterms:modified>
</cp:coreProperties>
</file>