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2-1-10-1-08-03-0-1958\"/>
    </mc:Choice>
  </mc:AlternateContent>
  <xr:revisionPtr revIDLastSave="0" documentId="13_ncr:1_{7C69224D-7AA1-4A9F-8B25-2BAC259EF38C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4" l="1"/>
  <c r="M18" i="4"/>
  <c r="M17" i="4"/>
  <c r="M16" i="4"/>
  <c r="P43" i="4" l="1"/>
  <c r="P44" i="4" l="1"/>
  <c r="P45" i="4" s="1"/>
  <c r="P46" i="4" s="1"/>
  <c r="M20" i="4" l="1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<sst xmlns="http://schemas.openxmlformats.org/spreadsheetml/2006/main" count="405" uniqueCount="366">
  <si>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</si>
  <si>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</si>
  <si>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</si>
  <si>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</si>
  <si>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</si>
  <si>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</si>
  <si>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</si>
  <si>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</si>
  <si>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</si>
  <si>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</si>
  <si>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</si>
  <si>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</si>
  <si>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</si>
  <si>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</si>
  <si>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</si>
  <si>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</si>
  <si>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</si>
  <si>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</si>
  <si>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</si>
  <si>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</si>
  <si>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</si>
  <si>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</si>
  <si>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</si>
  <si>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</si>
  <si>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</si>
  <si>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</si>
  <si>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</si>
  <si>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</si>
  <si>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</si>
  <si>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</si>
  <si>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</si>
  <si>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</si>
  <si>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</si>
  <si>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</si>
  <si>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</si>
  <si>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</si>
  <si>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</si>
  <si>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</si>
  <si>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</si>
  <si>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</si>
  <si>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</si>
  <si>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</si>
  <si>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</si>
  <si>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</si>
  <si>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</si>
  <si>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</si>
  <si>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</si>
  <si>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</si>
  <si>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</si>
  <si>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</si>
  <si>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</si>
  <si>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</si>
  <si>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</si>
  <si>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</si>
  <si>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</si>
  <si>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</si>
  <si>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</si>
  <si>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</si>
  <si>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</si>
  <si>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</si>
  <si>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</si>
  <si>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</si>
  <si>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</si>
  <si>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</si>
  <si>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</si>
  <si>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</si>
  <si>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</si>
  <si>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</si>
  <si>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</si>
  <si>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</si>
  <si>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</si>
  <si>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</si>
  <si>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</si>
  <si>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</si>
  <si>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</si>
  <si>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</si>
  <si>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</si>
  <si>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</si>
  <si>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</si>
  <si>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</si>
  <si>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</si>
  <si>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</si>
  <si>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</si>
  <si>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</si>
  <si>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</si>
  <si>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</si>
  <si>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</si>
  <si>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</si>
  <si>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</si>
  <si>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</si>
  <si>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</si>
  <si>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</si>
  <si>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</si>
  <si>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</si>
  <si>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</si>
  <si>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</si>
  <si>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</si>
  <si>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</si>
  <si>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</si>
  <si>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</si>
  <si>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</si>
  <si>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</si>
  <si>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</si>
  <si>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</si>
  <si>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</si>
  <si>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</si>
  <si>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</si>
  <si>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</si>
  <si>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</si>
  <si>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</si>
  <si>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</si>
  <si>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</si>
  <si>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</si>
  <si>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</si>
  <si>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</si>
  <si>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</si>
  <si>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</si>
  <si>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</si>
  <si>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</si>
  <si>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</si>
  <si>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</si>
  <si>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</si>
  <si>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</si>
  <si>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</si>
  <si>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</si>
  <si>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</si>
  <si>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</si>
  <si>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</si>
  <si>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</si>
  <si>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</si>
  <si>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</si>
  <si>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</si>
  <si>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</si>
  <si>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</si>
  <si>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</si>
  <si>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</si>
  <si>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</si>
  <si>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</si>
  <si>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</si>
  <si>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</si>
  <si>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</si>
  <si>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</si>
  <si>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</si>
  <si>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</si>
  <si>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</si>
  <si>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</si>
  <si>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</si>
  <si>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</si>
  <si>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</si>
  <si>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</si>
  <si>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</si>
  <si>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</si>
  <si>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</si>
  <si>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</si>
  <si>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</si>
  <si>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</si>
  <si>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</si>
  <si>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</si>
  <si>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</si>
  <si>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</si>
  <si>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</si>
  <si>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</si>
  <si>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</si>
  <si>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</si>
  <si>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</si>
  <si>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</si>
  <si>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</si>
  <si>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</si>
  <si>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</si>
  <si>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</si>
  <si>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</si>
  <si>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</si>
  <si>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</si>
  <si>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</si>
  <si>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</si>
  <si>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</si>
  <si>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</si>
  <si>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</si>
  <si>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</si>
  <si>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</si>
  <si>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</si>
  <si>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</si>
  <si>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</si>
  <si>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</si>
  <si>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</si>
  <si>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</si>
  <si>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</si>
  <si>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</si>
  <si>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</si>
  <si>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</si>
  <si>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</si>
  <si>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</si>
  <si>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</si>
  <si>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</si>
  <si>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</si>
  <si>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</si>
  <si>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</si>
  <si>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</si>
  <si>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</si>
  <si>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</si>
  <si>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</si>
  <si>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</si>
  <si>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</si>
  <si>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</si>
  <si>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</si>
  <si>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</si>
  <si>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</si>
  <si>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</si>
  <si>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</si>
  <si>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</si>
  <si>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</si>
  <si>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</si>
  <si>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</si>
  <si>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</si>
  <si>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</si>
  <si>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</si>
  <si>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</si>
  <si>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</si>
  <si>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</si>
  <si>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</si>
  <si>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</si>
  <si>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</si>
  <si>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</si>
  <si>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</si>
  <si>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</si>
  <si>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</si>
  <si>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</si>
  <si>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</si>
  <si>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</si>
  <si>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</si>
  <si>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</si>
  <si>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</si>
  <si>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</si>
  <si>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</si>
  <si>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</si>
  <si>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</si>
  <si>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</si>
  <si>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</si>
  <si>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</si>
  <si>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</si>
  <si>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</si>
  <si>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</si>
  <si>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</si>
  <si>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</si>
  <si>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</si>
  <si>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</si>
  <si>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</si>
  <si>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</si>
  <si>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</si>
  <si>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</si>
  <si>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</si>
  <si>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</si>
  <si>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</si>
  <si>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</si>
  <si>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</si>
  <si>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</si>
  <si>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</si>
  <si>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</si>
  <si>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</si>
  <si>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</si>
  <si>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</si>
  <si>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</si>
  <si>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</si>
  <si>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</si>
  <si>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</si>
  <si>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</si>
  <si>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</si>
  <si>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</si>
  <si>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</si>
  <si>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</si>
  <si>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</si>
  <si>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</si>
  <si>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</si>
  <si>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</si>
  <si>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</si>
  <si>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</si>
  <si>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</si>
  <si>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</si>
  <si>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</si>
  <si>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</si>
  <si>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</si>
  <si>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</si>
  <si>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</si>
  <si>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</si>
  <si>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</si>
  <si>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</si>
  <si>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</si>
  <si>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</si>
  <si>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</si>
  <si>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</si>
  <si>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</si>
  <si>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</si>
  <si>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</si>
  <si>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</si>
  <si>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</si>
  <si>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</si>
  <si>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</si>
  <si>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</si>
  <si>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</si>
  <si>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</si>
  <si>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</si>
  <si>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</si>
  <si>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</si>
  <si>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</si>
  <si>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</si>
  <si>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</si>
  <si>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</si>
  <si>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</si>
  <si>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</si>
  <si>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</si>
  <si>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</si>
  <si>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</si>
  <si>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</si>
  <si>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</si>
  <si>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</si>
  <si>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</si>
  <si>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</si>
  <si>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</si>
  <si>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</si>
  <si>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</si>
  <si>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</si>
  <si>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</si>
  <si>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</si>
  <si>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</si>
  <si>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</si>
  <si>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</si>
  <si>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</si>
  <si>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</si>
  <si>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</si>
  <si>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</si>
  <si>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</si>
  <si>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</si>
  <si>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</si>
  <si>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</si>
  <si>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</si>
  <si>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</si>
  <si>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</si>
  <si>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</si>
  <si>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</si>
  <si>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</si>
  <si>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</si>
  <si>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</si>
  <si>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</si>
  <si>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</si>
  <si>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</si>
  <si>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</si>
  <si>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</si>
  <si>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</si>
  <si>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</si>
  <si>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</si>
  <si>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</si>
  <si>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</si>
  <si>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</si>
  <si>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</si>
  <si>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</si>
  <si>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</si>
  <si>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</si>
  <si>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</si>
  <si>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</si>
  <si>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</si>
  <si>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</si>
  <si>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</si>
  <si>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</si>
  <si>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</si>
  <si>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Строительство КТП-10/0,4кВ мощностью 0,25 МВА, КЛ-10/0,4кВ - 0,47 км по договору ТП № 10-025/005-ПС-22 в п. Красный Бор Тосненского района ЛО</t>
  </si>
  <si>
    <t>O_22-1-10-1-08-03-0-1958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</si>
</sst>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8" fillId="0" borderId="3" xfId="0" quotePrefix="1" applyNumberFormat="1" applyFont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4" zoomScale="85" zoomScaleNormal="85" zoomScaleSheetLayoutView="85" workbookViewId="0">
      <selection activeCell="T16" sqref="T1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3.42578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7" t="s">
        <v>364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192" t="s">
        <v>365</v>
      </c>
      <c r="I7" s="192"/>
      <c r="J7" s="192"/>
      <c r="K7" s="192"/>
      <c r="L7" s="192"/>
      <c r="M7" s="192"/>
      <c r="N7" s="192"/>
      <c r="O7" s="192"/>
      <c r="P7" s="192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1" t="s">
        <v>75</v>
      </c>
      <c r="I9" s="191"/>
      <c r="J9" s="191"/>
      <c r="K9" s="191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9" t="s">
        <v>6</v>
      </c>
      <c r="B13" s="189" t="s">
        <v>9</v>
      </c>
      <c r="C13" s="189" t="s">
        <v>334</v>
      </c>
      <c r="D13" s="189" t="s">
        <v>349</v>
      </c>
      <c r="E13" s="189"/>
      <c r="F13" s="189"/>
      <c r="G13" s="189"/>
      <c r="H13" s="189" t="s">
        <v>335</v>
      </c>
      <c r="I13" s="189" t="s">
        <v>348</v>
      </c>
      <c r="J13" s="189" t="s">
        <v>7</v>
      </c>
      <c r="K13" s="19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89"/>
      <c r="B14" s="189"/>
      <c r="C14" s="189"/>
      <c r="D14" s="136" t="s">
        <v>89</v>
      </c>
      <c r="E14" s="136" t="s">
        <v>91</v>
      </c>
      <c r="F14" s="136" t="s">
        <v>93</v>
      </c>
      <c r="G14" s="136" t="s">
        <v>318</v>
      </c>
      <c r="H14" s="189"/>
      <c r="I14" s="189"/>
      <c r="J14" s="189"/>
      <c r="K14" s="190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164" t="s">
        <v>322</v>
      </c>
      <c r="C16" s="37">
        <f>VLOOKUP($B$16:$B$29,'Наименование работ'!B:G,6,)</f>
        <v>369272.4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1611380.5302000002</v>
      </c>
      <c r="I16" s="36">
        <f>VLOOKUP($B$16:$B$29,'Наименование работ'!B:R,17,)</f>
        <v>1778206.3191000002</v>
      </c>
      <c r="J16" s="38" t="s">
        <v>363</v>
      </c>
      <c r="K16" s="156">
        <v>1</v>
      </c>
      <c r="L16" s="33">
        <f>(N16+O16)*0.08</f>
        <v>271166.94794400001</v>
      </c>
      <c r="M16" s="33">
        <f>122750*K16</f>
        <v>122750</v>
      </c>
      <c r="N16" s="34">
        <f>K16*H16</f>
        <v>1611380.5302000002</v>
      </c>
      <c r="O16" s="34">
        <f>K16*I16</f>
        <v>1778206.3191000002</v>
      </c>
      <c r="P16" s="34">
        <f t="shared" ref="P16" si="0">SUM(L16:O16)</f>
        <v>3783503.7972440002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164" t="s">
        <v>64</v>
      </c>
      <c r="C17" s="37">
        <f>VLOOKUP($B$16:$B$29,'Наименование работ'!B:G,6,)</f>
        <v>867784.29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6247508.0406000009</v>
      </c>
      <c r="I17" s="36">
        <f>VLOOKUP($B$16:$B$29,'Наименование работ'!B:R,17,)</f>
        <v>0</v>
      </c>
      <c r="J17" s="38" t="s">
        <v>353</v>
      </c>
      <c r="K17" s="156">
        <v>0.27</v>
      </c>
      <c r="L17" s="33">
        <f t="shared" ref="L17:L19" si="1">(N17+O17)*0.08</f>
        <v>134946.17367696002</v>
      </c>
      <c r="M17" s="33">
        <f t="shared" ref="M17:M19" si="2">122750*K17</f>
        <v>33142.5</v>
      </c>
      <c r="N17" s="34">
        <f t="shared" ref="N17:N29" si="3">K17*H17</f>
        <v>1686827.1709620003</v>
      </c>
      <c r="O17" s="34">
        <f t="shared" ref="O17:O29" si="4">K17*I17</f>
        <v>0</v>
      </c>
      <c r="P17" s="34">
        <f t="shared" ref="P17" si="5">SUM(L17:O17)</f>
        <v>1854915.8446389602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164" t="s">
        <v>195</v>
      </c>
      <c r="C18" s="37">
        <f>VLOOKUP($B$16:$B$29,'Наименование работ'!B:G,6,)</f>
        <v>1160478.56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7949049.7363000019</v>
      </c>
      <c r="I18" s="36">
        <f>VLOOKUP($B$16:$B$29,'Наименование работ'!B:R,17,)</f>
        <v>0</v>
      </c>
      <c r="J18" s="38" t="s">
        <v>353</v>
      </c>
      <c r="K18" s="156">
        <v>0.2</v>
      </c>
      <c r="L18" s="33">
        <f t="shared" si="1"/>
        <v>127184.79578080005</v>
      </c>
      <c r="M18" s="33">
        <f t="shared" si="2"/>
        <v>24550</v>
      </c>
      <c r="N18" s="34">
        <f t="shared" si="3"/>
        <v>1589809.9472600005</v>
      </c>
      <c r="O18" s="34">
        <f t="shared" si="4"/>
        <v>0</v>
      </c>
      <c r="P18" s="34">
        <f t="shared" ref="P18" si="6">SUM(L18:O18)</f>
        <v>1741544.7430408006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/>
      <c r="B19" s="164" t="s">
        <v>206</v>
      </c>
      <c r="C19" s="37">
        <f>VLOOKUP($B$16:$B$29,'Наименование работ'!B:G,6,)</f>
        <v>1385281.2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10973438.419799998</v>
      </c>
      <c r="I19" s="36">
        <f>VLOOKUP($B$16:$B$29,'Наименование работ'!B:R,17,)</f>
        <v>0</v>
      </c>
      <c r="J19" s="38" t="s">
        <v>353</v>
      </c>
      <c r="K19" s="156">
        <v>0.1</v>
      </c>
      <c r="L19" s="33">
        <f t="shared" si="1"/>
        <v>87787.507358399991</v>
      </c>
      <c r="M19" s="33">
        <f t="shared" si="2"/>
        <v>12275</v>
      </c>
      <c r="N19" s="34">
        <f t="shared" si="3"/>
        <v>1097343.8419799998</v>
      </c>
      <c r="O19" s="34">
        <f t="shared" si="4"/>
        <v>0</v>
      </c>
      <c r="P19" s="34">
        <f t="shared" ref="P19:P23" si="7">SUM(L19:O19)</f>
        <v>1197406.3493383997</v>
      </c>
      <c r="Q19" s="25"/>
      <c r="R19" s="25"/>
      <c r="S19" s="25"/>
      <c r="T19" s="25"/>
      <c r="U19" s="20"/>
      <c r="V19" s="17"/>
    </row>
    <row r="20" spans="1:22" ht="28.5" hidden="1" customHeight="1" x14ac:dyDescent="0.25">
      <c r="A20" s="10"/>
      <c r="B20" s="40" t="s">
        <v>210</v>
      </c>
      <c r="C20" s="37">
        <f>VLOOKUP($B$16:$B$29,'Наименование работ'!B:G,6,)</f>
        <v>898103.22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8348995.227599998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ref="M20:M29" si="8">147300*K20</f>
        <v>0</v>
      </c>
      <c r="N20" s="34">
        <f t="shared" si="3"/>
        <v>0</v>
      </c>
      <c r="O20" s="34">
        <f t="shared" si="4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8"/>
        <v>0</v>
      </c>
      <c r="N21" s="34">
        <f t="shared" si="3"/>
        <v>0</v>
      </c>
      <c r="O21" s="34">
        <f t="shared" si="4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3"/>
        <v>0</v>
      </c>
      <c r="O22" s="34">
        <f t="shared" si="4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9"/>
        <v>0</v>
      </c>
      <c r="M23" s="33">
        <f t="shared" si="8"/>
        <v>0</v>
      </c>
      <c r="N23" s="34">
        <f t="shared" si="3"/>
        <v>0</v>
      </c>
      <c r="O23" s="34">
        <f t="shared" si="4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9"/>
        <v>0</v>
      </c>
      <c r="M29" s="33">
        <f t="shared" si="8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9" t="s">
        <v>317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1"/>
      <c r="P30" s="34">
        <f>SUM(M16:M29)</f>
        <v>192717.5</v>
      </c>
    </row>
    <row r="31" spans="1:22" ht="16.5" customHeight="1" x14ac:dyDescent="0.25">
      <c r="A31" s="141"/>
      <c r="B31" s="179" t="s">
        <v>2</v>
      </c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1"/>
      <c r="P31" s="35">
        <f>SUM(N16:N29)</f>
        <v>5985361.490402001</v>
      </c>
    </row>
    <row r="32" spans="1:22" ht="16.5" customHeight="1" x14ac:dyDescent="0.25">
      <c r="A32" s="141"/>
      <c r="B32" s="179" t="s">
        <v>3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35">
        <f>SUM(O16:O29)</f>
        <v>1778206.3191000002</v>
      </c>
    </row>
    <row r="33" spans="1:21" ht="16.5" customHeight="1" x14ac:dyDescent="0.25">
      <c r="A33" s="141"/>
      <c r="B33" s="179" t="s">
        <v>346</v>
      </c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5">
        <f>SUM(L16:L29)</f>
        <v>621085.42476016015</v>
      </c>
      <c r="Q33" s="32"/>
      <c r="R33" s="32"/>
    </row>
    <row r="34" spans="1:21" ht="16.5" customHeight="1" x14ac:dyDescent="0.25">
      <c r="A34" s="141"/>
      <c r="B34" s="194" t="s">
        <v>12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6"/>
      <c r="P34" s="34">
        <f>SUM(P30:P33)</f>
        <v>8577370.734262161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9" t="s">
        <v>0</v>
      </c>
      <c r="C38" s="189"/>
      <c r="D38" s="189"/>
      <c r="E38" s="189"/>
      <c r="F38" s="197" t="s">
        <v>337</v>
      </c>
      <c r="G38" s="197"/>
      <c r="H38" s="198"/>
      <c r="I38" s="201" t="s">
        <v>354</v>
      </c>
      <c r="J38" s="202"/>
      <c r="K38" s="190" t="s">
        <v>338</v>
      </c>
      <c r="L38" s="190"/>
      <c r="M38" s="190" t="s">
        <v>339</v>
      </c>
      <c r="N38" s="190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7" t="s">
        <v>319</v>
      </c>
      <c r="C39" s="167"/>
      <c r="D39" s="167"/>
      <c r="E39" s="167"/>
      <c r="F39" s="199">
        <f>P33+P30</f>
        <v>813802.92476016015</v>
      </c>
      <c r="G39" s="199"/>
      <c r="H39" s="200"/>
      <c r="I39" s="203">
        <v>1.07</v>
      </c>
      <c r="J39" s="204"/>
      <c r="K39" s="184">
        <f>F39*$I$39</f>
        <v>870769.12949337147</v>
      </c>
      <c r="L39" s="184"/>
      <c r="M39" s="184">
        <f>K39*1.2</f>
        <v>1044922.9553920457</v>
      </c>
      <c r="N39" s="184"/>
      <c r="O39" s="157" t="s">
        <v>74</v>
      </c>
      <c r="P39" s="158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7" t="s">
        <v>2</v>
      </c>
      <c r="C40" s="167"/>
      <c r="D40" s="167"/>
      <c r="E40" s="167"/>
      <c r="F40" s="182">
        <f>P31</f>
        <v>5985361.490402001</v>
      </c>
      <c r="G40" s="182"/>
      <c r="H40" s="183"/>
      <c r="I40" s="205"/>
      <c r="J40" s="206"/>
      <c r="K40" s="184">
        <f t="shared" ref="K40:K41" si="13">F40*$I$39</f>
        <v>6404336.7947301418</v>
      </c>
      <c r="L40" s="184"/>
      <c r="M40" s="184">
        <f>K40*1.2</f>
        <v>7685204.1536761699</v>
      </c>
      <c r="N40" s="184"/>
      <c r="O40" s="157" t="s">
        <v>75</v>
      </c>
      <c r="P40" s="158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7" t="s">
        <v>3</v>
      </c>
      <c r="C41" s="167"/>
      <c r="D41" s="167"/>
      <c r="E41" s="167"/>
      <c r="F41" s="182">
        <f>P32</f>
        <v>1778206.3191000002</v>
      </c>
      <c r="G41" s="182"/>
      <c r="H41" s="183"/>
      <c r="I41" s="205"/>
      <c r="J41" s="206"/>
      <c r="K41" s="184">
        <f t="shared" si="13"/>
        <v>1902680.7614370002</v>
      </c>
      <c r="L41" s="184"/>
      <c r="M41" s="185">
        <f t="shared" ref="M41" si="14">K41*1.2</f>
        <v>2283216.9137244001</v>
      </c>
      <c r="N41" s="185"/>
      <c r="O41" s="157" t="s">
        <v>76</v>
      </c>
      <c r="P41" s="158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7" t="s">
        <v>4</v>
      </c>
      <c r="C42" s="167"/>
      <c r="D42" s="167"/>
      <c r="E42" s="167"/>
      <c r="F42" s="182"/>
      <c r="G42" s="182"/>
      <c r="H42" s="183"/>
      <c r="I42" s="205"/>
      <c r="J42" s="206"/>
      <c r="K42" s="168">
        <f>SUM(F43:H45)*$I$39</f>
        <v>1885117.3852346693</v>
      </c>
      <c r="L42" s="169"/>
      <c r="M42" s="168">
        <f>K42*1.2</f>
        <v>2262140.8622816033</v>
      </c>
      <c r="N42" s="169"/>
      <c r="O42" s="157" t="s">
        <v>77</v>
      </c>
      <c r="P42" s="158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4" t="s">
        <v>356</v>
      </c>
      <c r="C43" s="174"/>
      <c r="D43" s="174"/>
      <c r="E43" s="174"/>
      <c r="F43" s="172">
        <f>SUM(F39:H41)/100*P49</f>
        <v>183555.73371321024</v>
      </c>
      <c r="G43" s="172"/>
      <c r="H43" s="173"/>
      <c r="I43" s="205"/>
      <c r="J43" s="206"/>
      <c r="K43" s="170"/>
      <c r="L43" s="171"/>
      <c r="M43" s="170"/>
      <c r="N43" s="171"/>
      <c r="O43" s="159" t="s">
        <v>359</v>
      </c>
      <c r="P43" s="158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4" t="s">
        <v>358</v>
      </c>
      <c r="C44" s="174"/>
      <c r="D44" s="174"/>
      <c r="E44" s="174"/>
      <c r="F44" s="172">
        <f>SUM(F39:H41)/100*P50</f>
        <v>1003552.3759086728</v>
      </c>
      <c r="G44" s="172"/>
      <c r="H44" s="173"/>
      <c r="I44" s="205"/>
      <c r="J44" s="206"/>
      <c r="K44" s="170"/>
      <c r="L44" s="171"/>
      <c r="M44" s="170"/>
      <c r="N44" s="171"/>
      <c r="O44" s="159" t="s">
        <v>360</v>
      </c>
      <c r="P44" s="158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5" t="s">
        <v>357</v>
      </c>
      <c r="C45" s="175"/>
      <c r="D45" s="175"/>
      <c r="E45" s="175"/>
      <c r="F45" s="172">
        <f>SUM(F39:H41)/100*P51</f>
        <v>574683.83919556474</v>
      </c>
      <c r="G45" s="172"/>
      <c r="H45" s="173"/>
      <c r="I45" s="205"/>
      <c r="J45" s="206"/>
      <c r="K45" s="170"/>
      <c r="L45" s="171"/>
      <c r="M45" s="170"/>
      <c r="N45" s="171"/>
      <c r="O45" s="159" t="s">
        <v>361</v>
      </c>
      <c r="P45" s="158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6" t="s">
        <v>81</v>
      </c>
      <c r="B46" s="176"/>
      <c r="C46" s="176"/>
      <c r="D46" s="176"/>
      <c r="E46" s="176"/>
      <c r="F46" s="166">
        <f>SUM(F39:H45)</f>
        <v>10339162.683079608</v>
      </c>
      <c r="G46" s="166"/>
      <c r="H46" s="166"/>
      <c r="I46" s="166"/>
      <c r="J46" s="166"/>
      <c r="K46" s="165">
        <f>SUM(K39:L45)</f>
        <v>11062904.070895182</v>
      </c>
      <c r="L46" s="165"/>
      <c r="M46" s="165">
        <f>SUM(M39:N45)</f>
        <v>13275484.885074219</v>
      </c>
      <c r="N46" s="165"/>
      <c r="O46" s="159" t="s">
        <v>362</v>
      </c>
      <c r="P46" s="158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8" t="s">
        <v>342</v>
      </c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59"/>
      <c r="P49" s="162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8" t="s">
        <v>345</v>
      </c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59"/>
      <c r="P50" s="16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7" t="s">
        <v>343</v>
      </c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59"/>
      <c r="P51" s="163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7" t="s">
        <v>344</v>
      </c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D1B30CB-2601-497C-AEE9-DA9C326C848C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2024-02-21T09:59:37Z</dcterms:modified>
</cp:coreProperties>
</file>