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06-1-08-03-0-0616\"/>
    </mc:Choice>
  </mc:AlternateContent>
  <xr:revisionPtr revIDLastSave="0" documentId="13_ncr:1_{C581EC5D-0E20-4D65-BB7D-CA2E8EA3735C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4" l="1"/>
  <c r="P43" i="4" l="1"/>
  <c r="P44" i="4" l="1"/>
  <c r="P45" i="4" s="1"/>
  <c r="P46" i="4" s="1"/>
  <c r="M21" i="4" l="1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<sst xmlns="http://schemas.openxmlformats.org/spreadsheetml/2006/main" count="405" uniqueCount="368">
  <si>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</si>
  <si>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</si>
  <si>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</si>
  <si>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</si>
  <si>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</si>
  <si>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</si>
  <si>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</si>
  <si>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</si>
  <si>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</si>
  <si>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</si>
  <si>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</si>
  <si>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</si>
  <si>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</si>
  <si>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</si>
  <si>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</si>
  <si>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</si>
  <si>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</si>
  <si>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</si>
  <si>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</si>
  <si>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</si>
  <si>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</si>
  <si>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</si>
  <si>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</si>
  <si>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</si>
  <si>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</si>
  <si>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</si>
  <si>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</si>
  <si>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</si>
  <si>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</si>
  <si>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</si>
  <si>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</si>
  <si>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</si>
  <si>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</si>
  <si>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</si>
  <si>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</si>
  <si>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</si>
  <si>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</si>
  <si>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</si>
  <si>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</si>
  <si>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</si>
  <si>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</si>
  <si>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</si>
  <si>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</si>
  <si>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</si>
  <si>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</si>
  <si>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</si>
  <si>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</si>
  <si>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</si>
  <si>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</si>
  <si>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</si>
  <si>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</si>
  <si>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</si>
  <si>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</si>
  <si>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</si>
  <si>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</si>
  <si>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</si>
  <si>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</si>
  <si>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</si>
  <si>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</si>
  <si>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</si>
  <si>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</si>
  <si>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</si>
  <si>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</si>
  <si>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</si>
  <si>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</si>
  <si>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</si>
  <si>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</si>
  <si>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</si>
  <si>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</si>
  <si>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</si>
  <si>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</si>
  <si>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</si>
  <si>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</si>
  <si>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</si>
  <si>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</si>
  <si>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</si>
  <si>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</si>
  <si>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</si>
  <si>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</si>
  <si>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</si>
  <si>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</si>
  <si>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</si>
  <si>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</si>
  <si>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</si>
  <si>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</si>
  <si>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</si>
  <si>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</si>
  <si>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</si>
  <si>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</si>
  <si>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</si>
  <si>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</si>
  <si>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</si>
  <si>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</si>
  <si>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</si>
  <si>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</si>
  <si>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</si>
  <si>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</si>
  <si>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</si>
  <si>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</si>
  <si>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</si>
  <si>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</si>
  <si>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</si>
  <si>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</si>
  <si>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</si>
  <si>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</si>
  <si>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</si>
  <si>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</si>
  <si>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</si>
  <si>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</si>
  <si>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</si>
  <si>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</si>
  <si>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</si>
  <si>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</si>
  <si>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</si>
  <si>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</si>
  <si>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</si>
  <si>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</si>
  <si>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</si>
  <si>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</si>
  <si>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</si>
  <si>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</si>
  <si>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</si>
  <si>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</si>
  <si>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</si>
  <si>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</si>
  <si>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</si>
  <si>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</si>
  <si>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</si>
  <si>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</si>
  <si>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</si>
  <si>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</si>
  <si>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</si>
  <si>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</si>
  <si>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</si>
  <si>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</si>
  <si>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</si>
  <si>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</si>
  <si>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</si>
  <si>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</si>
  <si>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</si>
  <si>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</si>
  <si>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</si>
  <si>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</si>
  <si>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</si>
  <si>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</si>
  <si>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</si>
  <si>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</si>
  <si>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</si>
  <si>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</si>
  <si>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</si>
  <si>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</si>
  <si>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</si>
  <si>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</si>
  <si>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</si>
  <si>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</si>
  <si>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</si>
  <si>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</si>
  <si>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</si>
  <si>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</si>
  <si>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</si>
  <si>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</si>
  <si>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</si>
  <si>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</si>
  <si>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</si>
  <si>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</si>
  <si>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</si>
  <si>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</si>
  <si>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</si>
  <si>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</si>
  <si>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</si>
  <si>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</si>
  <si>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</si>
  <si>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</si>
  <si>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</si>
  <si>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</si>
  <si>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</si>
  <si>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</si>
  <si>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</si>
  <si>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</si>
  <si>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</si>
  <si>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</si>
  <si>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</si>
  <si>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</si>
  <si>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</si>
  <si>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</si>
  <si>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</si>
  <si>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</si>
  <si>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</si>
  <si>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</si>
  <si>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</si>
  <si>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</si>
  <si>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</si>
  <si>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</si>
  <si>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</si>
  <si>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</si>
  <si>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</si>
  <si>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</si>
  <si>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</si>
  <si>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</si>
  <si>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</si>
  <si>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</si>
  <si>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</si>
  <si>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</si>
  <si>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</si>
  <si>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</si>
  <si>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</si>
  <si>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</si>
  <si>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</si>
  <si>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</si>
  <si>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</si>
  <si>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</si>
  <si>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</si>
  <si>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</si>
  <si>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</si>
  <si>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</si>
  <si>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</si>
  <si>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</si>
  <si>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</si>
  <si>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</si>
  <si>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</si>
  <si>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</si>
  <si>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</si>
  <si>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</si>
  <si>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</si>
  <si>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</si>
  <si>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</si>
  <si>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</si>
  <si>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</si>
  <si>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</si>
  <si>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</si>
  <si>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</si>
  <si>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</si>
  <si>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</si>
  <si>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</si>
  <si>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</si>
  <si>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</si>
  <si>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</si>
  <si>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</si>
  <si>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</si>
  <si>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</si>
  <si>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</si>
  <si>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</si>
  <si>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</si>
  <si>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</si>
  <si>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</si>
  <si>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</si>
  <si>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</si>
  <si>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</si>
  <si>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</si>
  <si>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</si>
  <si>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</si>
  <si>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</si>
  <si>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</si>
  <si>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</si>
  <si>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</si>
  <si>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</si>
  <si>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</si>
  <si>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</si>
  <si>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</si>
  <si>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</si>
  <si>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</si>
  <si>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</si>
  <si>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</si>
  <si>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</si>
  <si>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</si>
  <si>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</si>
  <si>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</si>
  <si>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</si>
  <si>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</si>
  <si>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</si>
  <si>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</si>
  <si>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</si>
  <si>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</si>
  <si>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</si>
  <si>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</si>
  <si>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</si>
  <si>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</si>
  <si>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</si>
  <si>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</si>
  <si>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</si>
  <si>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</si>
  <si>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</si>
  <si>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</si>
  <si>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</si>
  <si>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</si>
  <si>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</si>
  <si>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</si>
  <si>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</si>
  <si>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</si>
  <si>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</si>
  <si>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</si>
  <si>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</si>
  <si>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</si>
  <si>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</si>
  <si>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</si>
  <si>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</si>
  <si>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</si>
  <si>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</si>
  <si>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</si>
  <si>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</si>
  <si>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</si>
  <si>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</si>
  <si>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</si>
  <si>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</si>
  <si>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</si>
  <si>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</si>
  <si>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</si>
  <si>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</si>
  <si>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</si>
  <si>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</si>
  <si>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</si>
  <si>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</si>
  <si>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</si>
  <si>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</si>
  <si>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</si>
  <si>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</si>
  <si>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</si>
  <si>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</si>
  <si>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</si>
  <si>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</si>
  <si>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</si>
  <si>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</si>
  <si>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</si>
  <si>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</si>
  <si>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</si>
  <si>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</si>
  <si>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</si>
  <si>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</si>
  <si>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</si>
  <si>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</si>
  <si>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</si>
  <si>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</si>
  <si>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</si>
  <si>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</si>
  <si>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</si>
  <si>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</si>
  <si>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</si>
  <si>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</si>
  <si>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</si>
  <si>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</si>
  <si>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</si>
  <si>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</si>
  <si>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</si>
  <si>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</si>
  <si>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</si>
  <si>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</si>
  <si>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</si>
  <si>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</si>
  <si>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</si>
  <si>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</si>
  <si>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</si>
  <si>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</si>
  <si>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</si>
  <si>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</si>
  <si>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</si>
  <si>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</si>
  <si>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</si>
  <si>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</si>
  <si>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</si>
  <si>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</si>
  <si>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</si>
  <si>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</si>
  <si>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</si>
  <si>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</si>
  <si>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100 м</t>
  </si>
  <si>
    <t>30 м2</t>
  </si>
  <si>
    <t>O_23-1-06-1-08-03-0-0616</t>
  </si>
  <si>
    <t>Строительство 2КЛ-0,4 кВ протяженностью 0,25 км по договору № 06-060/005-ПС-22 (ГБУЗ ЛО ''Гатчинская КМБ'') в г. Гатчина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</si>
</sst>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10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4" fontId="8" fillId="0" borderId="3" xfId="0" quotePrefix="1" applyNumberFormat="1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7" fillId="0" borderId="1" xfId="0" applyFont="1" applyBorder="1"/>
    <xf numFmtId="167" fontId="8" fillId="0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1406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91" t="s">
        <v>367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6" spans="1:22" ht="10.5" customHeight="1" x14ac:dyDescent="0.25"/>
    <row r="7" spans="1:22" ht="13.5" customHeight="1" x14ac:dyDescent="0.25">
      <c r="A7" s="6" t="s">
        <v>5</v>
      </c>
      <c r="H7" s="166" t="s">
        <v>366</v>
      </c>
      <c r="I7" s="163"/>
      <c r="J7" s="24"/>
      <c r="K7" s="24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5" t="s">
        <v>75</v>
      </c>
      <c r="I9" s="195"/>
      <c r="J9" s="195"/>
      <c r="K9" s="195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93" t="s">
        <v>6</v>
      </c>
      <c r="B13" s="193" t="s">
        <v>9</v>
      </c>
      <c r="C13" s="193" t="s">
        <v>334</v>
      </c>
      <c r="D13" s="193" t="s">
        <v>349</v>
      </c>
      <c r="E13" s="193"/>
      <c r="F13" s="193"/>
      <c r="G13" s="193"/>
      <c r="H13" s="193" t="s">
        <v>335</v>
      </c>
      <c r="I13" s="193" t="s">
        <v>348</v>
      </c>
      <c r="J13" s="193" t="s">
        <v>7</v>
      </c>
      <c r="K13" s="194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90" t="s">
        <v>337</v>
      </c>
      <c r="Q13" s="24"/>
    </row>
    <row r="14" spans="1:22" ht="38.25" customHeight="1" x14ac:dyDescent="0.25">
      <c r="A14" s="193"/>
      <c r="B14" s="193"/>
      <c r="C14" s="193"/>
      <c r="D14" s="136" t="s">
        <v>89</v>
      </c>
      <c r="E14" s="136" t="s">
        <v>91</v>
      </c>
      <c r="F14" s="136" t="s">
        <v>93</v>
      </c>
      <c r="G14" s="136" t="s">
        <v>318</v>
      </c>
      <c r="H14" s="193"/>
      <c r="I14" s="193"/>
      <c r="J14" s="193"/>
      <c r="K14" s="194"/>
      <c r="L14" s="136" t="s">
        <v>1</v>
      </c>
      <c r="M14" s="136" t="s">
        <v>317</v>
      </c>
      <c r="N14" s="136" t="s">
        <v>2</v>
      </c>
      <c r="O14" s="136" t="s">
        <v>3</v>
      </c>
      <c r="P14" s="190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39"/>
      <c r="R15" s="139"/>
      <c r="S15" s="139"/>
      <c r="T15" s="139"/>
      <c r="U15" s="39"/>
      <c r="V15" s="17"/>
    </row>
    <row r="16" spans="1:22" ht="27.75" customHeight="1" x14ac:dyDescent="0.25">
      <c r="A16" s="10"/>
      <c r="B16" s="164" t="s">
        <v>243</v>
      </c>
      <c r="C16" s="37">
        <f>VLOOKUP($B$16:$B$29,'Наименование работ'!B:G,6,)</f>
        <v>91423.67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719937.53869999992</v>
      </c>
      <c r="I16" s="36">
        <f>VLOOKUP($B$16:$B$29,'Наименование работ'!B:R,17,)</f>
        <v>0</v>
      </c>
      <c r="J16" s="38" t="s">
        <v>364</v>
      </c>
      <c r="K16" s="167">
        <v>2.5</v>
      </c>
      <c r="L16" s="33">
        <f>(N16+O16)*0.08</f>
        <v>143987.50774</v>
      </c>
      <c r="M16" s="33">
        <f>122750</f>
        <v>122750</v>
      </c>
      <c r="N16" s="34">
        <f>K16*H16</f>
        <v>1799843.8467499998</v>
      </c>
      <c r="O16" s="34">
        <f>K16*I16</f>
        <v>0</v>
      </c>
      <c r="P16" s="34">
        <f t="shared" ref="P16" si="0">SUM(L16:O16)</f>
        <v>2066581.3544899998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164" t="s">
        <v>132</v>
      </c>
      <c r="C17" s="37">
        <f>VLOOKUP($B$16:$B$29,'Наименование работ'!B:G,6,)</f>
        <v>40761.360000000001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158038.90780000002</v>
      </c>
      <c r="I17" s="36">
        <f>VLOOKUP($B$16:$B$29,'Наименование работ'!B:R,17,)</f>
        <v>200618.27249999999</v>
      </c>
      <c r="J17" s="38" t="s">
        <v>363</v>
      </c>
      <c r="K17" s="168">
        <v>1</v>
      </c>
      <c r="L17" s="33">
        <f t="shared" ref="L17:L18" si="1">(N17+O17)*0.08</f>
        <v>28692.574424000002</v>
      </c>
      <c r="M17" s="33">
        <v>0</v>
      </c>
      <c r="N17" s="34">
        <f t="shared" ref="N17:N29" si="2">K17*H17</f>
        <v>158038.90780000002</v>
      </c>
      <c r="O17" s="34">
        <f t="shared" ref="O17:O29" si="3">K17*I17</f>
        <v>200618.27249999999</v>
      </c>
      <c r="P17" s="34">
        <f t="shared" ref="P17" si="4">SUM(L17:O17)</f>
        <v>387349.754724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164" t="s">
        <v>248</v>
      </c>
      <c r="C18" s="37">
        <f>VLOOKUP($B$16:$B$29,'Наименование работ'!B:G,6,)</f>
        <v>11335.53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164832.92600000001</v>
      </c>
      <c r="I18" s="36">
        <f>VLOOKUP($B$16:$B$29,'Наименование работ'!B:R,17,)</f>
        <v>0</v>
      </c>
      <c r="J18" s="38" t="s">
        <v>365</v>
      </c>
      <c r="K18" s="168">
        <v>5</v>
      </c>
      <c r="L18" s="33">
        <f t="shared" si="1"/>
        <v>65933.170400000003</v>
      </c>
      <c r="M18" s="33">
        <v>0</v>
      </c>
      <c r="N18" s="34">
        <f t="shared" si="2"/>
        <v>824164.63</v>
      </c>
      <c r="O18" s="34">
        <f t="shared" si="3"/>
        <v>0</v>
      </c>
      <c r="P18" s="34">
        <f t="shared" ref="P18" si="5">SUM(L18:O18)</f>
        <v>890097.80040000007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164" t="s">
        <v>100</v>
      </c>
      <c r="C19" s="37">
        <f>VLOOKUP($B$16:$B$29,'Наименование работ'!B:G,6,)</f>
        <v>13582.88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10.17</v>
      </c>
      <c r="F19" s="37">
        <f>VLOOKUP($B$16:$B$29,'Наименование работ'!B:O,14,)</f>
        <v>7.86</v>
      </c>
      <c r="G19" s="37">
        <f>VLOOKUP($B$16:$B$29,'Наименование работ'!B:Q,16,)</f>
        <v>6.33</v>
      </c>
      <c r="H19" s="36">
        <f>VLOOKUP(B19:B32,'Наименование работ'!B:S,18,)</f>
        <v>132369.54559999998</v>
      </c>
      <c r="I19" s="36">
        <f>VLOOKUP($B$16:$B$29,'Наименование работ'!B:R,17,)</f>
        <v>0</v>
      </c>
      <c r="J19" s="38" t="s">
        <v>363</v>
      </c>
      <c r="K19" s="155">
        <v>0</v>
      </c>
      <c r="L19" s="33">
        <f t="shared" ref="L19:L20" si="6">(N19+O19)*0.08</f>
        <v>0</v>
      </c>
      <c r="M19" s="33"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164" t="s">
        <v>315</v>
      </c>
      <c r="C20" s="37">
        <f>VLOOKUP($B$16:$B$29,'Наименование работ'!B:G,6,)</f>
        <v>1134380.6100000001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6.68</v>
      </c>
      <c r="F20" s="37">
        <f>VLOOKUP($B$16:$B$29,'Наименование работ'!B:O,14,)</f>
        <v>6.02</v>
      </c>
      <c r="G20" s="37">
        <f>VLOOKUP($B$16:$B$29,'Наименование работ'!B:Q,16,)</f>
        <v>0</v>
      </c>
      <c r="H20" s="36">
        <f>VLOOKUP(B20:B33,'Наименование работ'!B:S,18,)</f>
        <v>13128032.572800003</v>
      </c>
      <c r="I20" s="36">
        <f>VLOOKUP($B$16:$B$29,'Наименование работ'!B:R,17,)</f>
        <v>0</v>
      </c>
      <c r="J20" s="38" t="s">
        <v>353</v>
      </c>
      <c r="K20" s="155">
        <v>0</v>
      </c>
      <c r="L20" s="33">
        <f t="shared" si="6"/>
        <v>0</v>
      </c>
      <c r="M20" s="33"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ref="M21:M29" si="8">147300*K21</f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9"/>
        <v>0</v>
      </c>
      <c r="M23" s="33">
        <f t="shared" si="8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3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3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3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3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3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9"/>
        <v>0</v>
      </c>
      <c r="M29" s="33">
        <f t="shared" si="8"/>
        <v>0</v>
      </c>
      <c r="N29" s="34">
        <f t="shared" si="2"/>
        <v>0</v>
      </c>
      <c r="O29" s="34">
        <f t="shared" si="3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3" t="s">
        <v>317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34">
        <f>SUM(M16:M29)</f>
        <v>122750</v>
      </c>
    </row>
    <row r="31" spans="1:22" ht="16.5" customHeight="1" x14ac:dyDescent="0.25">
      <c r="A31" s="141"/>
      <c r="B31" s="183" t="s">
        <v>2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5"/>
      <c r="P31" s="35">
        <f>SUM(N16:N29)</f>
        <v>2782047.3845499996</v>
      </c>
    </row>
    <row r="32" spans="1:22" ht="16.5" customHeight="1" x14ac:dyDescent="0.25">
      <c r="A32" s="141"/>
      <c r="B32" s="183" t="s">
        <v>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5"/>
      <c r="P32" s="35">
        <f>SUM(O16:O29)</f>
        <v>200618.27249999999</v>
      </c>
    </row>
    <row r="33" spans="1:21" ht="16.5" customHeight="1" x14ac:dyDescent="0.25">
      <c r="A33" s="141"/>
      <c r="B33" s="183" t="s">
        <v>346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5"/>
      <c r="P33" s="35">
        <f>SUM(L16:L29)</f>
        <v>238613.25256399999</v>
      </c>
      <c r="Q33" s="32"/>
      <c r="R33" s="32"/>
    </row>
    <row r="34" spans="1:21" ht="16.5" customHeight="1" x14ac:dyDescent="0.25">
      <c r="A34" s="141"/>
      <c r="B34" s="197" t="s">
        <v>12</v>
      </c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9"/>
      <c r="P34" s="34">
        <f>SUM(P30:P33)</f>
        <v>3344028.9096139995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93" t="s">
        <v>0</v>
      </c>
      <c r="C38" s="193"/>
      <c r="D38" s="193"/>
      <c r="E38" s="193"/>
      <c r="F38" s="200" t="s">
        <v>337</v>
      </c>
      <c r="G38" s="200"/>
      <c r="H38" s="201"/>
      <c r="I38" s="204" t="s">
        <v>354</v>
      </c>
      <c r="J38" s="205"/>
      <c r="K38" s="194" t="s">
        <v>338</v>
      </c>
      <c r="L38" s="194"/>
      <c r="M38" s="194" t="s">
        <v>339</v>
      </c>
      <c r="N38" s="194"/>
      <c r="O38" s="165"/>
      <c r="P38" s="165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1" t="s">
        <v>319</v>
      </c>
      <c r="C39" s="171"/>
      <c r="D39" s="171"/>
      <c r="E39" s="171"/>
      <c r="F39" s="202">
        <f>P33+P30</f>
        <v>361363.25256399997</v>
      </c>
      <c r="G39" s="202"/>
      <c r="H39" s="203"/>
      <c r="I39" s="206">
        <v>1.07</v>
      </c>
      <c r="J39" s="207"/>
      <c r="K39" s="188">
        <f>F39*$I$39</f>
        <v>386658.68024347996</v>
      </c>
      <c r="L39" s="188"/>
      <c r="M39" s="188">
        <f>K39*1.2</f>
        <v>463990.41629217594</v>
      </c>
      <c r="N39" s="188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1" t="s">
        <v>2</v>
      </c>
      <c r="C40" s="171"/>
      <c r="D40" s="171"/>
      <c r="E40" s="171"/>
      <c r="F40" s="186">
        <f>P31</f>
        <v>2782047.3845499996</v>
      </c>
      <c r="G40" s="186"/>
      <c r="H40" s="187"/>
      <c r="I40" s="208"/>
      <c r="J40" s="209"/>
      <c r="K40" s="188">
        <f t="shared" ref="K40:K41" si="13">F40*$I$39</f>
        <v>2976790.7014684998</v>
      </c>
      <c r="L40" s="188"/>
      <c r="M40" s="188">
        <f>K40*1.2</f>
        <v>3572148.8417621995</v>
      </c>
      <c r="N40" s="188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1" t="s">
        <v>3</v>
      </c>
      <c r="C41" s="171"/>
      <c r="D41" s="171"/>
      <c r="E41" s="171"/>
      <c r="F41" s="186">
        <f>P32</f>
        <v>200618.27249999999</v>
      </c>
      <c r="G41" s="186"/>
      <c r="H41" s="187"/>
      <c r="I41" s="208"/>
      <c r="J41" s="209"/>
      <c r="K41" s="188">
        <f t="shared" si="13"/>
        <v>214661.55157499999</v>
      </c>
      <c r="L41" s="188"/>
      <c r="M41" s="189">
        <f t="shared" ref="M41" si="14">K41*1.2</f>
        <v>257593.86188999997</v>
      </c>
      <c r="N41" s="189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1" t="s">
        <v>4</v>
      </c>
      <c r="C42" s="171"/>
      <c r="D42" s="171"/>
      <c r="E42" s="171"/>
      <c r="F42" s="186"/>
      <c r="G42" s="186"/>
      <c r="H42" s="187"/>
      <c r="I42" s="208"/>
      <c r="J42" s="209"/>
      <c r="K42" s="172">
        <f>SUM(F43:H45)*$I$39</f>
        <v>734943.98569714569</v>
      </c>
      <c r="L42" s="173"/>
      <c r="M42" s="172">
        <f>K42*1.2</f>
        <v>881932.78283657483</v>
      </c>
      <c r="N42" s="173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8" t="s">
        <v>356</v>
      </c>
      <c r="C43" s="178"/>
      <c r="D43" s="178"/>
      <c r="E43" s="178"/>
      <c r="F43" s="176">
        <f>SUM(F39:H41)/100*P49</f>
        <v>71562.218665739594</v>
      </c>
      <c r="G43" s="176"/>
      <c r="H43" s="177"/>
      <c r="I43" s="208"/>
      <c r="J43" s="209"/>
      <c r="K43" s="174"/>
      <c r="L43" s="175"/>
      <c r="M43" s="174"/>
      <c r="N43" s="175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8" t="s">
        <v>358</v>
      </c>
      <c r="C44" s="178"/>
      <c r="D44" s="178"/>
      <c r="E44" s="178"/>
      <c r="F44" s="176">
        <f>SUM(F39:H41)/100*P50</f>
        <v>391251.38242483797</v>
      </c>
      <c r="G44" s="176"/>
      <c r="H44" s="177"/>
      <c r="I44" s="208"/>
      <c r="J44" s="209"/>
      <c r="K44" s="174"/>
      <c r="L44" s="175"/>
      <c r="M44" s="174"/>
      <c r="N44" s="175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9" t="s">
        <v>357</v>
      </c>
      <c r="C45" s="179"/>
      <c r="D45" s="179"/>
      <c r="E45" s="179"/>
      <c r="F45" s="176">
        <f>SUM(F39:H41)/100*P51</f>
        <v>224049.936944138</v>
      </c>
      <c r="G45" s="176"/>
      <c r="H45" s="177"/>
      <c r="I45" s="208"/>
      <c r="J45" s="209"/>
      <c r="K45" s="174"/>
      <c r="L45" s="175"/>
      <c r="M45" s="174"/>
      <c r="N45" s="175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180" t="s">
        <v>81</v>
      </c>
      <c r="B46" s="180"/>
      <c r="C46" s="180"/>
      <c r="D46" s="180"/>
      <c r="E46" s="180"/>
      <c r="F46" s="170">
        <f>SUM(F39:H45)</f>
        <v>4030892.4476487148</v>
      </c>
      <c r="G46" s="170"/>
      <c r="H46" s="170"/>
      <c r="I46" s="170"/>
      <c r="J46" s="170"/>
      <c r="K46" s="169">
        <f>SUM(K39:L45)</f>
        <v>4313054.9189841254</v>
      </c>
      <c r="L46" s="169"/>
      <c r="M46" s="169">
        <f>SUM(M39:N45)</f>
        <v>5175665.902780951</v>
      </c>
      <c r="N46" s="169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82" t="s">
        <v>342</v>
      </c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82" t="s">
        <v>345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81" t="s">
        <v>343</v>
      </c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81" t="s">
        <v>344</v>
      </c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5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61C4887-7D8B-414B-9D13-5B8A03568312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2024-02-21T10:49:24Z</dcterms:modified>
</cp:coreProperties>
</file>