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O_23-1-10-1-08-03-0-0542\"/>
    </mc:Choice>
  </mc:AlternateContent>
  <xr:revisionPtr revIDLastSave="0" documentId="13_ncr:1_{BFE3A004-A745-493C-89D7-8BD99BD78665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4" l="1"/>
  <c r="M16" i="4"/>
  <c r="P43" i="4" l="1"/>
  <c r="P44" i="4" l="1"/>
  <c r="P45" i="4" s="1"/>
  <c r="P46" i="4" s="1"/>
  <c r="M21" i="4" l="1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<sst xmlns="http://schemas.openxmlformats.org/spreadsheetml/2006/main" count="405" uniqueCount="366">
  <si>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</si>
  <si>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</si>
  <si>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</si>
  <si>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</si>
  <si>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</si>
  <si>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</si>
  <si>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</si>
  <si>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</si>
  <si>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</si>
  <si>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</si>
  <si>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</si>
  <si>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</si>
  <si>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</si>
  <si>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</si>
  <si>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</si>
  <si>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</si>
  <si>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</si>
  <si>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</si>
  <si>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</si>
  <si>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</si>
  <si>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</si>
  <si>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</si>
  <si>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</si>
  <si>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</si>
  <si>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</si>
  <si>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</si>
  <si>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</si>
  <si>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</si>
  <si>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</si>
  <si>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</si>
  <si>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</si>
  <si>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</si>
  <si>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</si>
  <si>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</si>
  <si>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</si>
  <si>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</si>
  <si>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</si>
  <si>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</si>
  <si>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</si>
  <si>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</si>
  <si>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</si>
  <si>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</si>
  <si>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</si>
  <si>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</si>
  <si>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</si>
  <si>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</si>
  <si>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</si>
  <si>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</si>
  <si>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</si>
  <si>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</si>
  <si>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</si>
  <si>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</si>
  <si>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</si>
  <si>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</si>
  <si>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</si>
  <si>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</si>
  <si>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</si>
  <si>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</si>
  <si>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</si>
  <si>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</si>
  <si>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</si>
  <si>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</si>
  <si>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</si>
  <si>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</si>
  <si>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</si>
  <si>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</si>
  <si>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</si>
  <si>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</si>
  <si>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</si>
  <si>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</si>
  <si>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</si>
  <si>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</si>
  <si>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</si>
  <si>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</si>
  <si>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</si>
  <si>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</si>
  <si>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</si>
  <si>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</si>
  <si>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</si>
  <si>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</si>
  <si>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</si>
  <si>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</si>
  <si>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</si>
  <si>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</si>
  <si>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</si>
  <si>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</si>
  <si>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</si>
  <si>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</si>
  <si>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</si>
  <si>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</si>
  <si>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</si>
  <si>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</si>
  <si>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</si>
  <si>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</si>
  <si>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</si>
  <si>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</si>
  <si>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</si>
  <si>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</si>
  <si>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</si>
  <si>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</si>
  <si>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</si>
  <si>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</si>
  <si>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</si>
  <si>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</si>
  <si>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</si>
  <si>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</si>
  <si>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</si>
  <si>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</si>
  <si>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</si>
  <si>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</si>
  <si>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</si>
  <si>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</si>
  <si>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</si>
  <si>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</si>
  <si>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</si>
  <si>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</si>
  <si>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</si>
  <si>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</si>
  <si>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</si>
  <si>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</si>
  <si>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</si>
  <si>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</si>
  <si>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</si>
  <si>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</si>
  <si>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</si>
  <si>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</si>
  <si>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</si>
  <si>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</si>
  <si>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</si>
  <si>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</si>
  <si>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</si>
  <si>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</si>
  <si>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</si>
  <si>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</si>
  <si>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</si>
  <si>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</si>
  <si>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</si>
  <si>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</si>
  <si>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</si>
  <si>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</si>
  <si>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</si>
  <si>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</si>
  <si>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</si>
  <si>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</si>
  <si>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</si>
  <si>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</si>
  <si>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</si>
  <si>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</si>
  <si>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</si>
  <si>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</si>
  <si>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</si>
  <si>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</si>
  <si>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</si>
  <si>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</si>
  <si>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</si>
  <si>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</si>
  <si>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</si>
  <si>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</si>
  <si>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</si>
  <si>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</si>
  <si>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</si>
  <si>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</si>
  <si>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</si>
  <si>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</si>
  <si>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</si>
  <si>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</si>
  <si>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</si>
  <si>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</si>
  <si>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</si>
  <si>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</si>
  <si>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</si>
  <si>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</si>
  <si>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</si>
  <si>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</si>
  <si>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</si>
  <si>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</si>
  <si>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</si>
  <si>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</si>
  <si>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</si>
  <si>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</si>
  <si>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</si>
  <si>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</si>
  <si>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</si>
  <si>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</si>
  <si>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</si>
  <si>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</si>
  <si>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</si>
  <si>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</si>
  <si>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</si>
  <si>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</si>
  <si>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</si>
  <si>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</si>
  <si>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</si>
  <si>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</si>
  <si>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</si>
  <si>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</si>
  <si>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</si>
  <si>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</si>
  <si>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</si>
  <si>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</si>
  <si>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</si>
  <si>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</si>
  <si>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</si>
  <si>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</si>
  <si>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</si>
  <si>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</si>
  <si>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</si>
  <si>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</si>
  <si>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</si>
  <si>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</si>
  <si>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</si>
  <si>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</si>
  <si>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</si>
  <si>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</si>
  <si>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</si>
  <si>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</si>
  <si>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</si>
  <si>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</si>
  <si>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</si>
  <si>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</si>
  <si>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</si>
  <si>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</si>
  <si>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</si>
  <si>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</si>
  <si>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</si>
  <si>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</si>
  <si>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</si>
  <si>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</si>
  <si>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</si>
  <si>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</si>
  <si>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</si>
  <si>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</si>
  <si>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</si>
  <si>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</si>
  <si>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</si>
  <si>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</si>
  <si>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</si>
  <si>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</si>
  <si>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</si>
  <si>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</si>
  <si>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</si>
  <si>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</si>
  <si>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</si>
  <si>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</si>
  <si>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</si>
  <si>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</si>
  <si>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</si>
  <si>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</si>
  <si>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</si>
  <si>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</si>
  <si>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</si>
  <si>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</si>
  <si>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</si>
  <si>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</si>
  <si>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</si>
  <si>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</si>
  <si>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</si>
  <si>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</si>
  <si>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</si>
  <si>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</si>
  <si>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</si>
  <si>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</si>
  <si>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</si>
  <si>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</si>
  <si>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</si>
  <si>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</si>
  <si>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</si>
  <si>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</si>
  <si>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</si>
  <si>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</si>
  <si>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</si>
  <si>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</si>
  <si>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</si>
  <si>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</si>
  <si>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</si>
  <si>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</si>
  <si>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</si>
  <si>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</si>
  <si>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</si>
  <si>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</si>
  <si>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</si>
  <si>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</si>
  <si>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</si>
  <si>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</si>
  <si>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</si>
  <si>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</si>
  <si>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</si>
  <si>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</si>
  <si>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</si>
  <si>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</si>
  <si>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</si>
  <si>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</si>
  <si>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</si>
  <si>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</si>
  <si>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</si>
  <si>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</si>
  <si>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</si>
  <si>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</si>
  <si>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</si>
  <si>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</si>
  <si>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</si>
  <si>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</si>
  <si>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</si>
  <si>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</si>
  <si>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</si>
  <si>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</si>
  <si>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</si>
  <si>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</si>
  <si>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</si>
  <si>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</si>
  <si>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</si>
  <si>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</si>
  <si>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</si>
  <si>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</si>
  <si>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</si>
  <si>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</si>
  <si>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</si>
  <si>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</si>
  <si>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</si>
  <si>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</si>
  <si>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</si>
  <si>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</si>
  <si>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</si>
  <si>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</si>
  <si>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</si>
  <si>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</si>
  <si>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</si>
  <si>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</si>
  <si>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</si>
  <si>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</si>
  <si>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</si>
  <si>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</si>
  <si>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</si>
  <si>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</si>
  <si>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</si>
  <si>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</si>
  <si>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</si>
  <si>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</si>
  <si>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</si>
  <si>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</si>
  <si>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</si>
  <si>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</si>
  <si>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</si>
  <si>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</si>
  <si>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</si>
  <si>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</si>
  <si>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</si>
  <si>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</si>
  <si>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</si>
  <si>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</si>
  <si>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</si>
  <si>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</si>
  <si>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</si>
  <si>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</si>
  <si>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</si>
  <si>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</si>
  <si>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</si>
  <si>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</si>
  <si>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</si>
  <si>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</si>
  <si>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</si>
  <si>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</si>
  <si>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</si>
  <si>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</si>
  <si>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Строительство КТП-10/0,4 кВ мощностью 0,4 МВА, ВЛ-10 кВ протяженностью 0,16 км по договору ТП № 10-018/005-ПС-23 в п. Красный Бор ЛО</t>
  </si>
  <si>
    <t>O_23-1-10-1-08-03-0-0542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</si>
</sst>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4" fontId="8" fillId="0" borderId="3" xfId="0" quotePrefix="1" applyNumberFormat="1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7;&#1072;&#1082;&#1091;&#1087;&#1086;&#1095;&#1085;&#1072;&#1103;%20&#1076;&#1086;&#1082;&#1091;&#1084;&#1077;&#1085;&#1090;&#1072;&#1094;&#1080;&#1103;\&#1056;&#1040;&#1052;&#1050;&#1048;%202023\&#1053;&#1057;\&#1042;&#1086;&#1089;&#1090;&#1086;&#1095;&#1085;&#1099;&#1077;%20&#1101;&#1083;.%20&#1089;&#1077;&#1090;&#1080;\&#1053;&#1086;&#1074;&#1099;&#1077;%20&#1079;&#1072;&#1103;&#1074;&#1082;&#1080;\&#1040;&#1087;&#1072;&#1090;&#1080;&#1090;%20&#1089;%20&#1082;&#1086;&#1088;&#1088;.%20&#1058;&#1059;\&#1056;&#1072;&#1089;&#1095;&#1077;&#1090;%20&#1089;&#1090;&#1086;&#1080;&#1084;&#1086;&#1089;&#1090;&#1080;%20&#1040;&#1087;&#1072;&#1090;&#1080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повые 4 кв.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V38" sqref="V38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2.1406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91" t="s">
        <v>364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6" spans="1:22" ht="10.5" customHeight="1" x14ac:dyDescent="0.25"/>
    <row r="7" spans="1:22" ht="13.5" customHeight="1" x14ac:dyDescent="0.25">
      <c r="A7" s="6" t="s">
        <v>5</v>
      </c>
      <c r="H7" s="166" t="s">
        <v>365</v>
      </c>
      <c r="I7" s="163"/>
      <c r="J7" s="24"/>
      <c r="K7" s="24"/>
      <c r="L7" s="24"/>
      <c r="M7" s="24"/>
      <c r="N7" s="24"/>
      <c r="O7" s="24"/>
      <c r="P7" s="24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3" t="s">
        <v>76</v>
      </c>
      <c r="I9" s="193"/>
      <c r="J9" s="193"/>
      <c r="K9" s="193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73" t="s">
        <v>6</v>
      </c>
      <c r="B13" s="173" t="s">
        <v>9</v>
      </c>
      <c r="C13" s="173" t="s">
        <v>334</v>
      </c>
      <c r="D13" s="173" t="s">
        <v>349</v>
      </c>
      <c r="E13" s="173"/>
      <c r="F13" s="173"/>
      <c r="G13" s="173"/>
      <c r="H13" s="173" t="s">
        <v>335</v>
      </c>
      <c r="I13" s="173" t="s">
        <v>348</v>
      </c>
      <c r="J13" s="173" t="s">
        <v>7</v>
      </c>
      <c r="K13" s="171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90" t="s">
        <v>337</v>
      </c>
      <c r="Q13" s="24"/>
    </row>
    <row r="14" spans="1:22" ht="38.25" customHeight="1" x14ac:dyDescent="0.25">
      <c r="A14" s="173"/>
      <c r="B14" s="173"/>
      <c r="C14" s="173"/>
      <c r="D14" s="136" t="s">
        <v>89</v>
      </c>
      <c r="E14" s="136" t="s">
        <v>91</v>
      </c>
      <c r="F14" s="136" t="s">
        <v>93</v>
      </c>
      <c r="G14" s="136" t="s">
        <v>318</v>
      </c>
      <c r="H14" s="173"/>
      <c r="I14" s="173"/>
      <c r="J14" s="173"/>
      <c r="K14" s="171"/>
      <c r="L14" s="136" t="s">
        <v>1</v>
      </c>
      <c r="M14" s="136" t="s">
        <v>317</v>
      </c>
      <c r="N14" s="136" t="s">
        <v>2</v>
      </c>
      <c r="O14" s="136" t="s">
        <v>3</v>
      </c>
      <c r="P14" s="190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39"/>
      <c r="R15" s="139"/>
      <c r="S15" s="139"/>
      <c r="T15" s="139"/>
      <c r="U15" s="39"/>
      <c r="V15" s="17"/>
    </row>
    <row r="16" spans="1:22" ht="24" customHeight="1" x14ac:dyDescent="0.25">
      <c r="A16" s="10"/>
      <c r="B16" s="164" t="s">
        <v>15</v>
      </c>
      <c r="C16" s="37">
        <f>VLOOKUP($B$16:$B$29,'Наименование работ'!B:G,6,)</f>
        <v>366791.92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6.68</v>
      </c>
      <c r="F16" s="37">
        <f>VLOOKUP($B$16:$B$29,'Наименование работ'!B:O,14,)</f>
        <v>6.02</v>
      </c>
      <c r="G16" s="37">
        <f>VLOOKUP($B$16:$B$29,'Наименование работ'!B:Q,16,)</f>
        <v>0</v>
      </c>
      <c r="H16" s="36">
        <f>VLOOKUP(B16:B29,'Наименование работ'!B:S,18,)</f>
        <v>3308214.8185999999</v>
      </c>
      <c r="I16" s="36">
        <f>VLOOKUP($B$16:$B$29,'Наименование работ'!B:R,17,)</f>
        <v>0</v>
      </c>
      <c r="J16" s="38" t="s">
        <v>353</v>
      </c>
      <c r="K16" s="155">
        <v>0.16</v>
      </c>
      <c r="L16" s="33">
        <f>(N16+O16)*0.08</f>
        <v>42345.149678080001</v>
      </c>
      <c r="M16" s="33">
        <f>122750*K16</f>
        <v>19640</v>
      </c>
      <c r="N16" s="34">
        <f>K16*H16</f>
        <v>529314.37097599998</v>
      </c>
      <c r="O16" s="34">
        <f>K16*I16</f>
        <v>0</v>
      </c>
      <c r="P16" s="34">
        <f t="shared" ref="P16" si="0">SUM(L16:O16)</f>
        <v>591299.52065407997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/>
      <c r="B17" s="164" t="s">
        <v>58</v>
      </c>
      <c r="C17" s="37">
        <f>VLOOKUP($B$16:$B$29,'Наименование работ'!B:G,6,)</f>
        <v>17188.41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6.68</v>
      </c>
      <c r="F17" s="37">
        <f>VLOOKUP($B$16:$B$29,'Наименование работ'!B:O,14,)</f>
        <v>6.02</v>
      </c>
      <c r="G17" s="37">
        <f>VLOOKUP($B$16:$B$29,'Наименование работ'!B:Q,16,)</f>
        <v>0</v>
      </c>
      <c r="H17" s="36">
        <f>VLOOKUP(B17:B30,'Наименование работ'!B:S,18,)</f>
        <v>147899.9019</v>
      </c>
      <c r="I17" s="36">
        <f>VLOOKUP($B$16:$B$29,'Наименование работ'!B:R,17,)</f>
        <v>0</v>
      </c>
      <c r="J17" s="38" t="s">
        <v>363</v>
      </c>
      <c r="K17" s="155">
        <v>1</v>
      </c>
      <c r="L17" s="33">
        <f t="shared" ref="L17:L20" si="1">(N17+O17)*0.08</f>
        <v>11831.992152000001</v>
      </c>
      <c r="M17" s="33">
        <v>0</v>
      </c>
      <c r="N17" s="34">
        <f t="shared" ref="N17:N29" si="2">K17*H17</f>
        <v>147899.9019</v>
      </c>
      <c r="O17" s="34">
        <f t="shared" ref="O17:O29" si="3">K17*I17</f>
        <v>0</v>
      </c>
      <c r="P17" s="34">
        <f t="shared" ref="P17" si="4">SUM(L17:O17)</f>
        <v>159731.89405199999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/>
      <c r="B18" s="164" t="s">
        <v>106</v>
      </c>
      <c r="C18" s="37">
        <f>VLOOKUP($B$16:$B$29,'Наименование работ'!B:G,6,)</f>
        <v>396541.64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10.17</v>
      </c>
      <c r="F18" s="37">
        <f>VLOOKUP($B$16:$B$29,'Наименование работ'!B:O,14,)</f>
        <v>7.86</v>
      </c>
      <c r="G18" s="37">
        <f>VLOOKUP($B$16:$B$29,'Наименование работ'!B:Q,16,)</f>
        <v>6.33</v>
      </c>
      <c r="H18" s="36">
        <f>VLOOKUP(B18:B31,'Наименование работ'!B:S,18,)</f>
        <v>996449.48260000022</v>
      </c>
      <c r="I18" s="36">
        <f>VLOOKUP($B$16:$B$29,'Наименование работ'!B:R,17,)</f>
        <v>2141122.5</v>
      </c>
      <c r="J18" s="38" t="s">
        <v>363</v>
      </c>
      <c r="K18" s="155">
        <v>1</v>
      </c>
      <c r="L18" s="33">
        <f t="shared" si="1"/>
        <v>251005.75860800003</v>
      </c>
      <c r="M18" s="33">
        <f t="shared" ref="M18" si="5">122750*K18</f>
        <v>122750</v>
      </c>
      <c r="N18" s="34">
        <f t="shared" si="2"/>
        <v>996449.48260000022</v>
      </c>
      <c r="O18" s="34">
        <f t="shared" si="3"/>
        <v>2141122.5</v>
      </c>
      <c r="P18" s="34">
        <f t="shared" ref="P18" si="6">SUM(L18:O18)</f>
        <v>3511327.7412080001</v>
      </c>
      <c r="Q18" s="25"/>
      <c r="R18" s="25"/>
      <c r="S18" s="25"/>
      <c r="T18" s="25"/>
      <c r="U18" s="20"/>
      <c r="V18" s="17"/>
    </row>
    <row r="19" spans="1:22" ht="24" customHeight="1" x14ac:dyDescent="0.25">
      <c r="A19" s="10"/>
      <c r="B19" s="164" t="s">
        <v>100</v>
      </c>
      <c r="C19" s="37">
        <f>VLOOKUP($B$16:$B$29,'Наименование работ'!B:G,6,)</f>
        <v>13582.88</v>
      </c>
      <c r="D19" s="37">
        <f>VLOOKUP($B$16:$B$29,'Наименование работ'!B:K,10,)</f>
        <v>19.489999999999998</v>
      </c>
      <c r="E19" s="37">
        <f>VLOOKUP($B$16:$B$29,'Наименование работ'!B:M,12,)</f>
        <v>10.17</v>
      </c>
      <c r="F19" s="37">
        <f>VLOOKUP($B$16:$B$29,'Наименование работ'!B:O,14,)</f>
        <v>7.86</v>
      </c>
      <c r="G19" s="37">
        <f>VLOOKUP($B$16:$B$29,'Наименование работ'!B:Q,16,)</f>
        <v>6.33</v>
      </c>
      <c r="H19" s="36">
        <f>VLOOKUP(B19:B32,'Наименование работ'!B:S,18,)</f>
        <v>132369.54559999998</v>
      </c>
      <c r="I19" s="36">
        <f>VLOOKUP($B$16:$B$29,'Наименование работ'!B:R,17,)</f>
        <v>0</v>
      </c>
      <c r="J19" s="38" t="s">
        <v>363</v>
      </c>
      <c r="K19" s="155">
        <v>2</v>
      </c>
      <c r="L19" s="33">
        <f t="shared" si="1"/>
        <v>21179.127295999999</v>
      </c>
      <c r="M19" s="33">
        <v>0</v>
      </c>
      <c r="N19" s="34">
        <f t="shared" si="2"/>
        <v>264739.09119999997</v>
      </c>
      <c r="O19" s="34">
        <f t="shared" si="3"/>
        <v>0</v>
      </c>
      <c r="P19" s="34">
        <f t="shared" ref="P19:P23" si="7">SUM(L19:O19)</f>
        <v>285918.21849599999</v>
      </c>
      <c r="Q19" s="25"/>
      <c r="R19" s="25"/>
      <c r="S19" s="25"/>
      <c r="T19" s="25"/>
      <c r="U19" s="20"/>
      <c r="V19" s="17"/>
    </row>
    <row r="20" spans="1:22" ht="24" customHeight="1" x14ac:dyDescent="0.25">
      <c r="A20" s="10"/>
      <c r="B20" s="164" t="s">
        <v>315</v>
      </c>
      <c r="C20" s="37">
        <f>VLOOKUP($B$16:$B$29,'Наименование работ'!B:G,6,)</f>
        <v>1134380.6100000001</v>
      </c>
      <c r="D20" s="37">
        <f>VLOOKUP($B$16:$B$29,'Наименование работ'!B:K,10,)</f>
        <v>19.489999999999998</v>
      </c>
      <c r="E20" s="37">
        <f>VLOOKUP($B$16:$B$29,'Наименование работ'!B:M,12,)</f>
        <v>6.68</v>
      </c>
      <c r="F20" s="37">
        <f>VLOOKUP($B$16:$B$29,'Наименование работ'!B:O,14,)</f>
        <v>6.02</v>
      </c>
      <c r="G20" s="37">
        <f>VLOOKUP($B$16:$B$29,'Наименование работ'!B:Q,16,)</f>
        <v>0</v>
      </c>
      <c r="H20" s="36">
        <f>VLOOKUP(B20:B33,'Наименование работ'!B:S,18,)</f>
        <v>13128032.572800003</v>
      </c>
      <c r="I20" s="36">
        <f>VLOOKUP($B$16:$B$29,'Наименование работ'!B:R,17,)</f>
        <v>0</v>
      </c>
      <c r="J20" s="38" t="s">
        <v>353</v>
      </c>
      <c r="K20" s="155">
        <v>0.03</v>
      </c>
      <c r="L20" s="33">
        <f t="shared" si="1"/>
        <v>31507.278174720006</v>
      </c>
      <c r="M20" s="33">
        <v>0</v>
      </c>
      <c r="N20" s="34">
        <f t="shared" si="2"/>
        <v>393840.97718400008</v>
      </c>
      <c r="O20" s="34">
        <f t="shared" si="3"/>
        <v>0</v>
      </c>
      <c r="P20" s="34">
        <f t="shared" si="7"/>
        <v>425348.25535872008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ref="M21:M29" si="8">147300*K21</f>
        <v>0</v>
      </c>
      <c r="N21" s="34">
        <f t="shared" si="2"/>
        <v>0</v>
      </c>
      <c r="O21" s="34">
        <f t="shared" si="3"/>
        <v>0</v>
      </c>
      <c r="P21" s="34">
        <f t="shared" si="7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9">(N22+O22)*0.08</f>
        <v>0</v>
      </c>
      <c r="M22" s="33">
        <f t="shared" si="8"/>
        <v>0</v>
      </c>
      <c r="N22" s="34">
        <f t="shared" si="2"/>
        <v>0</v>
      </c>
      <c r="O22" s="34">
        <f t="shared" si="3"/>
        <v>0</v>
      </c>
      <c r="P22" s="34">
        <f t="shared" si="7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9"/>
        <v>0</v>
      </c>
      <c r="M23" s="33">
        <f t="shared" si="8"/>
        <v>0</v>
      </c>
      <c r="N23" s="34">
        <f t="shared" si="2"/>
        <v>0</v>
      </c>
      <c r="O23" s="34">
        <f t="shared" si="3"/>
        <v>0</v>
      </c>
      <c r="P23" s="34">
        <f t="shared" si="7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9"/>
        <v>0</v>
      </c>
      <c r="M24" s="33">
        <f t="shared" si="8"/>
        <v>0</v>
      </c>
      <c r="N24" s="34">
        <f t="shared" ref="N24:N28" si="10">K24*H24</f>
        <v>0</v>
      </c>
      <c r="O24" s="34">
        <f t="shared" si="3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9"/>
        <v>0</v>
      </c>
      <c r="M25" s="33">
        <f t="shared" si="8"/>
        <v>0</v>
      </c>
      <c r="N25" s="34">
        <f t="shared" si="10"/>
        <v>0</v>
      </c>
      <c r="O25" s="34">
        <f t="shared" si="3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9"/>
        <v>0</v>
      </c>
      <c r="M26" s="33">
        <f t="shared" si="8"/>
        <v>0</v>
      </c>
      <c r="N26" s="34">
        <f t="shared" si="10"/>
        <v>0</v>
      </c>
      <c r="O26" s="34">
        <f t="shared" si="3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9"/>
        <v>0</v>
      </c>
      <c r="M27" s="33">
        <f t="shared" si="8"/>
        <v>0</v>
      </c>
      <c r="N27" s="34">
        <f t="shared" si="10"/>
        <v>0</v>
      </c>
      <c r="O27" s="34">
        <f t="shared" si="3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9"/>
        <v>0</v>
      </c>
      <c r="M28" s="33">
        <f t="shared" si="8"/>
        <v>0</v>
      </c>
      <c r="N28" s="34">
        <f t="shared" si="10"/>
        <v>0</v>
      </c>
      <c r="O28" s="34">
        <f t="shared" si="3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9"/>
        <v>0</v>
      </c>
      <c r="M29" s="33">
        <f t="shared" si="8"/>
        <v>0</v>
      </c>
      <c r="N29" s="34">
        <f t="shared" si="2"/>
        <v>0</v>
      </c>
      <c r="O29" s="34">
        <f t="shared" si="3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87" t="s">
        <v>317</v>
      </c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9"/>
      <c r="P30" s="34">
        <f>SUM(M16:M29)</f>
        <v>142390</v>
      </c>
    </row>
    <row r="31" spans="1:22" ht="16.5" customHeight="1" x14ac:dyDescent="0.25">
      <c r="A31" s="141"/>
      <c r="B31" s="187" t="s">
        <v>2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9"/>
      <c r="P31" s="35">
        <f>SUM(N16:N29)</f>
        <v>2332243.8238600004</v>
      </c>
    </row>
    <row r="32" spans="1:22" ht="16.5" customHeight="1" x14ac:dyDescent="0.25">
      <c r="A32" s="141"/>
      <c r="B32" s="187" t="s">
        <v>3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9"/>
      <c r="P32" s="35">
        <f>SUM(O16:O29)</f>
        <v>2141122.5</v>
      </c>
    </row>
    <row r="33" spans="1:21" ht="16.5" customHeight="1" x14ac:dyDescent="0.25">
      <c r="A33" s="141"/>
      <c r="B33" s="187" t="s">
        <v>346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9"/>
      <c r="P33" s="35">
        <f>SUM(L16:L29)</f>
        <v>357869.30590880004</v>
      </c>
      <c r="Q33" s="32"/>
      <c r="R33" s="32"/>
    </row>
    <row r="34" spans="1:21" ht="16.5" customHeight="1" x14ac:dyDescent="0.25">
      <c r="A34" s="141"/>
      <c r="B34" s="168" t="s">
        <v>12</v>
      </c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70"/>
      <c r="P34" s="34">
        <f>SUM(P30:P33)</f>
        <v>4973625.6297688009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73" t="s">
        <v>0</v>
      </c>
      <c r="C38" s="173"/>
      <c r="D38" s="173"/>
      <c r="E38" s="173"/>
      <c r="F38" s="175" t="s">
        <v>337</v>
      </c>
      <c r="G38" s="175"/>
      <c r="H38" s="176"/>
      <c r="I38" s="181" t="s">
        <v>354</v>
      </c>
      <c r="J38" s="182"/>
      <c r="K38" s="171" t="s">
        <v>338</v>
      </c>
      <c r="L38" s="171"/>
      <c r="M38" s="171" t="s">
        <v>339</v>
      </c>
      <c r="N38" s="171"/>
      <c r="O38" s="165"/>
      <c r="P38" s="165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74" t="s">
        <v>319</v>
      </c>
      <c r="C39" s="174"/>
      <c r="D39" s="174"/>
      <c r="E39" s="174"/>
      <c r="F39" s="177">
        <f>P33+P30</f>
        <v>500259.30590880004</v>
      </c>
      <c r="G39" s="177"/>
      <c r="H39" s="178"/>
      <c r="I39" s="183">
        <v>1.0529999999999999</v>
      </c>
      <c r="J39" s="184"/>
      <c r="K39" s="172">
        <f>F39*$I$39</f>
        <v>526773.04912196647</v>
      </c>
      <c r="L39" s="172"/>
      <c r="M39" s="172">
        <f>K39*1.2</f>
        <v>632127.65894635976</v>
      </c>
      <c r="N39" s="172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74" t="s">
        <v>2</v>
      </c>
      <c r="C40" s="174"/>
      <c r="D40" s="174"/>
      <c r="E40" s="174"/>
      <c r="F40" s="179">
        <f>P31</f>
        <v>2332243.8238600004</v>
      </c>
      <c r="G40" s="179"/>
      <c r="H40" s="180"/>
      <c r="I40" s="185"/>
      <c r="J40" s="186"/>
      <c r="K40" s="172">
        <f t="shared" ref="K40:K41" si="13">F40*$I$39</f>
        <v>2455852.7465245803</v>
      </c>
      <c r="L40" s="172"/>
      <c r="M40" s="172">
        <f>K40*1.2</f>
        <v>2947023.2958294963</v>
      </c>
      <c r="N40" s="172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74" t="s">
        <v>3</v>
      </c>
      <c r="C41" s="174"/>
      <c r="D41" s="174"/>
      <c r="E41" s="174"/>
      <c r="F41" s="179">
        <f>P32</f>
        <v>2141122.5</v>
      </c>
      <c r="G41" s="179"/>
      <c r="H41" s="180"/>
      <c r="I41" s="185"/>
      <c r="J41" s="186"/>
      <c r="K41" s="172">
        <f t="shared" si="13"/>
        <v>2254601.9924999997</v>
      </c>
      <c r="L41" s="172"/>
      <c r="M41" s="194">
        <f t="shared" ref="M41" si="14">K41*1.2</f>
        <v>2705522.3909999994</v>
      </c>
      <c r="N41" s="194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74" t="s">
        <v>4</v>
      </c>
      <c r="C42" s="174"/>
      <c r="D42" s="174"/>
      <c r="E42" s="174"/>
      <c r="F42" s="179"/>
      <c r="G42" s="179"/>
      <c r="H42" s="180"/>
      <c r="I42" s="185"/>
      <c r="J42" s="186"/>
      <c r="K42" s="199">
        <f>SUM(F43:H45)*$I$39</f>
        <v>1075726.5876853003</v>
      </c>
      <c r="L42" s="200"/>
      <c r="M42" s="199">
        <f>K42*1.2</f>
        <v>1290871.9052223603</v>
      </c>
      <c r="N42" s="200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205" t="s">
        <v>356</v>
      </c>
      <c r="C43" s="205"/>
      <c r="D43" s="205"/>
      <c r="E43" s="205"/>
      <c r="F43" s="203">
        <f>SUM(F39:H41)/100*P49</f>
        <v>106435.58847705233</v>
      </c>
      <c r="G43" s="203"/>
      <c r="H43" s="204"/>
      <c r="I43" s="185"/>
      <c r="J43" s="186"/>
      <c r="K43" s="201"/>
      <c r="L43" s="202"/>
      <c r="M43" s="201"/>
      <c r="N43" s="202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205" t="s">
        <v>358</v>
      </c>
      <c r="C44" s="205"/>
      <c r="D44" s="205"/>
      <c r="E44" s="205"/>
      <c r="F44" s="203">
        <f>SUM(F39:H41)/100*P50</f>
        <v>581914.19868294953</v>
      </c>
      <c r="G44" s="203"/>
      <c r="H44" s="204"/>
      <c r="I44" s="185"/>
      <c r="J44" s="186"/>
      <c r="K44" s="201"/>
      <c r="L44" s="202"/>
      <c r="M44" s="201"/>
      <c r="N44" s="202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206" t="s">
        <v>357</v>
      </c>
      <c r="C45" s="206"/>
      <c r="D45" s="206"/>
      <c r="E45" s="206"/>
      <c r="F45" s="203">
        <f>SUM(F39:H41)/100*P51</f>
        <v>333232.91719450959</v>
      </c>
      <c r="G45" s="203"/>
      <c r="H45" s="204"/>
      <c r="I45" s="185"/>
      <c r="J45" s="186"/>
      <c r="K45" s="201"/>
      <c r="L45" s="202"/>
      <c r="M45" s="201"/>
      <c r="N45" s="202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207" t="s">
        <v>81</v>
      </c>
      <c r="B46" s="207"/>
      <c r="C46" s="207"/>
      <c r="D46" s="207"/>
      <c r="E46" s="207"/>
      <c r="F46" s="198">
        <f>SUM(F39:H45)</f>
        <v>5995208.3341233125</v>
      </c>
      <c r="G46" s="198"/>
      <c r="H46" s="198"/>
      <c r="I46" s="198"/>
      <c r="J46" s="198"/>
      <c r="K46" s="197">
        <f>SUM(K39:L45)</f>
        <v>6312954.3758318461</v>
      </c>
      <c r="L46" s="197"/>
      <c r="M46" s="197">
        <f>SUM(M39:N45)</f>
        <v>7575545.2509982157</v>
      </c>
      <c r="N46" s="197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96" t="s">
        <v>342</v>
      </c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96" t="s">
        <v>345</v>
      </c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95" t="s">
        <v>343</v>
      </c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95" t="s">
        <v>344</v>
      </c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5"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  <mergeCell ref="B53:N53"/>
    <mergeCell ref="B51:N51"/>
    <mergeCell ref="B52:N52"/>
    <mergeCell ref="B49:N49"/>
    <mergeCell ref="B50:N50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EE2C89-ED55-4AD7-9475-CDF6C1DC0EFD}">
          <x14:formula1>
            <xm:f>'O:\Технический директор\ОКС\Закупочная документация\РАМКИ 2023\НС\Восточные эл. сети\Новые заявки\Апатит с корр. ТУ\[Расчет стоимости Апатит.xlsx]Типовые 4 кв. 2022'!#REF!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182" activePane="bottomLeft" state="frozen"/>
      <selection pane="bottomLeft" activeCell="G134" sqref="G134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ht="22.5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ht="22.5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ht="22.5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ht="22.5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ht="22.5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ht="22.5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ht="22.5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2024-02-21T12:45:14Z</dcterms:modified>
</cp:coreProperties>
</file>