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535\"/>
    </mc:Choice>
  </mc:AlternateContent>
  <xr:revisionPtr revIDLastSave="0" documentId="13_ncr:1_{DE6C8363-1999-4132-B95D-3A3590FABF28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83" i="5" l="1"/>
  <c r="L83" i="5" s="1"/>
  <c r="C152" i="5"/>
  <c r="L152" i="5" s="1"/>
  <c r="P95" i="5"/>
  <c r="C174" i="5"/>
  <c r="L174" i="5" s="1"/>
  <c r="P177" i="5"/>
  <c r="I177" i="5" s="1"/>
  <c r="J177" i="5" s="1"/>
  <c r="C186" i="5"/>
  <c r="L186" i="5" s="1"/>
  <c r="I186" i="5" s="1"/>
  <c r="J186" i="5" s="1"/>
  <c r="P14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I127" i="5" s="1"/>
  <c r="J127" i="5" s="1"/>
  <c r="P140" i="5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3" i="5"/>
  <c r="J183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38" i="5"/>
  <c r="J138" i="5" s="1"/>
  <c r="I140" i="5"/>
  <c r="J140" i="5" s="1"/>
  <c r="I152" i="5"/>
  <c r="J152" i="5" s="1"/>
  <c r="I173" i="5"/>
  <c r="J173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45" i="5"/>
  <c r="J145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<sst xmlns="http://schemas.openxmlformats.org/spreadsheetml/2006/main" count="405" uniqueCount="365">
  <si>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</si>
  <si>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</si>
  <si>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</si>
  <si>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</si>
  <si>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</si>
  <si>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</si>
  <si>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</si>
  <si>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</si>
  <si>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</si>
  <si>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</si>
  <si>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</si>
  <si>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</si>
  <si>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</si>
  <si>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</si>
  <si>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</si>
  <si>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</si>
  <si>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</si>
  <si>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</si>
  <si>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</si>
  <si>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</si>
  <si>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</si>
  <si>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</si>
  <si>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</si>
  <si>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</si>
  <si>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</si>
  <si>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</si>
  <si>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</si>
  <si>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</si>
  <si>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</si>
  <si>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</si>
  <si>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</si>
  <si>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</si>
  <si>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</si>
  <si>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</si>
  <si>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</si>
  <si>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</si>
  <si>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</si>
  <si>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</si>
  <si>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</si>
  <si>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</si>
  <si>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</si>
  <si>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</si>
  <si>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</si>
  <si>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</si>
  <si>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</si>
  <si>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</si>
  <si>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</si>
  <si>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</si>
  <si>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</si>
  <si>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</si>
  <si>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</si>
  <si>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</si>
  <si>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</si>
  <si>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</si>
  <si>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</si>
  <si>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</si>
  <si>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</si>
  <si>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</si>
  <si>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</si>
  <si>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</si>
  <si>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</si>
  <si>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</si>
  <si>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</si>
  <si>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</si>
  <si>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</si>
  <si>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</si>
  <si>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</si>
  <si>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</si>
  <si>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</si>
  <si>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</si>
  <si>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</si>
  <si>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</si>
  <si>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</si>
  <si>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</si>
  <si>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</si>
  <si>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</si>
  <si>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</si>
  <si>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</si>
  <si>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</si>
  <si>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</si>
  <si>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</si>
  <si>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</si>
  <si>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</si>
  <si>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</si>
  <si>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</si>
  <si>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</si>
  <si>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</si>
  <si>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</si>
  <si>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</si>
  <si>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</si>
  <si>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</si>
  <si>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</si>
  <si>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</si>
  <si>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</si>
  <si>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</si>
  <si>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</si>
  <si>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</si>
  <si>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</si>
  <si>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</si>
  <si>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</si>
  <si>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</si>
  <si>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</si>
  <si>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</si>
  <si>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</si>
  <si>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</si>
  <si>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</si>
  <si>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</si>
  <si>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</si>
  <si>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</si>
  <si>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</si>
  <si>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</si>
  <si>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</si>
  <si>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</si>
  <si>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</si>
  <si>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</si>
  <si>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</si>
  <si>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</si>
  <si>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</si>
  <si>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</si>
  <si>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</si>
  <si>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</si>
  <si>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</si>
  <si>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</si>
  <si>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</si>
  <si>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</si>
  <si>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</si>
  <si>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</si>
  <si>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</si>
  <si>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</si>
  <si>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</si>
  <si>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</si>
  <si>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</si>
  <si>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</si>
  <si>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</si>
  <si>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</si>
  <si>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</si>
  <si>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</si>
  <si>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</si>
  <si>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</si>
  <si>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</si>
  <si>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</si>
  <si>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</si>
  <si>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</si>
  <si>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</si>
  <si>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</si>
  <si>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</si>
  <si>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</si>
  <si>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</si>
  <si>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</si>
  <si>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</si>
  <si>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</si>
  <si>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</si>
  <si>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</si>
  <si>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</si>
  <si>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</si>
  <si>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</si>
  <si>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</si>
  <si>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</si>
  <si>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</si>
  <si>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</si>
  <si>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</si>
  <si>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</si>
  <si>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</si>
  <si>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</si>
  <si>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</si>
  <si>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</si>
  <si>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</si>
  <si>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</si>
  <si>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</si>
  <si>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</si>
  <si>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</si>
  <si>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</si>
  <si>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</si>
  <si>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</si>
  <si>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</si>
  <si>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</si>
  <si>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</si>
  <si>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</si>
  <si>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</si>
  <si>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</si>
  <si>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</si>
  <si>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</si>
  <si>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</si>
  <si>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</si>
  <si>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</si>
  <si>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</si>
  <si>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</si>
  <si>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</si>
  <si>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</si>
  <si>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</si>
  <si>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</si>
  <si>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</si>
  <si>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</si>
  <si>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</si>
  <si>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</si>
  <si>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</si>
  <si>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</si>
  <si>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</si>
  <si>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</si>
  <si>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</si>
  <si>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</si>
  <si>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</si>
  <si>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</si>
  <si>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</si>
  <si>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</si>
  <si>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</si>
  <si>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</si>
  <si>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</si>
  <si>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</si>
  <si>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</si>
  <si>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</si>
  <si>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</si>
  <si>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</si>
  <si>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</si>
  <si>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</si>
  <si>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</si>
  <si>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</si>
  <si>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</si>
  <si>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</si>
  <si>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</si>
  <si>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</si>
  <si>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</si>
  <si>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</si>
  <si>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</si>
  <si>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</si>
  <si>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</si>
  <si>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</si>
  <si>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</si>
  <si>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</si>
  <si>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</si>
  <si>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</si>
  <si>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</si>
  <si>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</si>
  <si>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</si>
  <si>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</si>
  <si>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</si>
  <si>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</si>
  <si>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</si>
  <si>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</si>
  <si>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</si>
  <si>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</si>
  <si>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</si>
  <si>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</si>
  <si>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</si>
  <si>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</si>
  <si>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</si>
  <si>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</si>
  <si>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</si>
  <si>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</si>
  <si>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</si>
  <si>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</si>
  <si>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</si>
  <si>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</si>
  <si>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</si>
  <si>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</si>
  <si>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</si>
  <si>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</si>
  <si>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</si>
  <si>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</si>
  <si>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</si>
  <si>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</si>
  <si>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</si>
  <si>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</si>
  <si>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</si>
  <si>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</si>
  <si>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</si>
  <si>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</si>
  <si>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</si>
  <si>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</si>
  <si>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</si>
  <si>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</si>
  <si>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</si>
  <si>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</si>
  <si>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</si>
  <si>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</si>
  <si>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</si>
  <si>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</si>
  <si>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</si>
  <si>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</si>
  <si>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</si>
  <si>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</si>
  <si>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</si>
  <si>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</si>
  <si>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</si>
  <si>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</si>
  <si>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</si>
  <si>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</si>
  <si>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</si>
  <si>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</si>
  <si>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</si>
  <si>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</si>
  <si>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</si>
  <si>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</si>
  <si>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</si>
  <si>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</si>
  <si>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</si>
  <si>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</si>
  <si>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</si>
  <si>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</si>
  <si>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</si>
  <si>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</si>
  <si>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</si>
  <si>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</si>
  <si>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</si>
  <si>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</si>
  <si>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</si>
  <si>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</si>
  <si>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</si>
  <si>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</si>
  <si>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</si>
  <si>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</si>
  <si>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</si>
  <si>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</si>
  <si>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</si>
  <si>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</si>
  <si>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</si>
  <si>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</si>
  <si>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</si>
  <si>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</si>
  <si>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</si>
  <si>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</si>
  <si>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</si>
  <si>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</si>
  <si>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</si>
  <si>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</si>
  <si>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</si>
  <si>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</si>
  <si>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</si>
  <si>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</si>
  <si>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</si>
  <si>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</si>
  <si>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</si>
  <si>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</si>
  <si>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</si>
  <si>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</si>
  <si>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</si>
  <si>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</si>
  <si>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</si>
  <si>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</si>
  <si>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</si>
  <si>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</si>
  <si>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</si>
  <si>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</si>
  <si>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</si>
  <si>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</si>
  <si>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</si>
  <si>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</si>
  <si>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</si>
  <si>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</si>
  <si>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</si>
  <si>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</si>
  <si>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</si>
  <si>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</si>
  <si>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</si>
  <si>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</si>
  <si>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</si>
  <si>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</si>
  <si>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</si>
  <si>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</si>
  <si>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</si>
  <si>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</si>
  <si>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</si>
  <si>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</si>
  <si>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ТП-166Н в части замены автоматов в РУ-0,4 кВ-1 шт. по договору ТП № 17-015/005-ПС-23 (ООО ''КорПласт'') д. Новосаратовка ЛО</t>
  </si>
  <si>
    <t>O_23-1-17-0-08-04-0-0535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</si>
</sst>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topLeftCell="A4" zoomScale="85" zoomScaleNormal="85" zoomScaleSheetLayoutView="85" workbookViewId="0">
      <selection activeCell="U34" sqref="U34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69" t="s">
        <v>6</v>
      </c>
      <c r="B13" s="169" t="s">
        <v>9</v>
      </c>
      <c r="C13" s="169" t="s">
        <v>334</v>
      </c>
      <c r="D13" s="169" t="s">
        <v>349</v>
      </c>
      <c r="E13" s="169"/>
      <c r="F13" s="169"/>
      <c r="G13" s="169"/>
      <c r="H13" s="169" t="s">
        <v>335</v>
      </c>
      <c r="I13" s="169" t="s">
        <v>348</v>
      </c>
      <c r="J13" s="169" t="s">
        <v>7</v>
      </c>
      <c r="K13" s="16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69"/>
      <c r="B14" s="169"/>
      <c r="C14" s="169"/>
      <c r="D14" s="136" t="s">
        <v>89</v>
      </c>
      <c r="E14" s="136" t="s">
        <v>91</v>
      </c>
      <c r="F14" s="136" t="s">
        <v>93</v>
      </c>
      <c r="G14" s="136" t="s">
        <v>318</v>
      </c>
      <c r="H14" s="169"/>
      <c r="I14" s="169"/>
      <c r="J14" s="169"/>
      <c r="K14" s="167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154</v>
      </c>
      <c r="C16" s="37">
        <f>VLOOKUP($B$16:$B$29,'Наименование работ'!B:G,6,)</f>
        <v>9949.2900000000009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113299.77290000003</v>
      </c>
      <c r="I16" s="36">
        <f>VLOOKUP($B$16:$B$29,'Наименование работ'!B:R,17,)</f>
        <v>24195.159</v>
      </c>
      <c r="J16" s="38" t="s">
        <v>352</v>
      </c>
      <c r="K16" s="149">
        <v>1</v>
      </c>
      <c r="L16" s="33">
        <f>(N16+O16)*0.04</f>
        <v>5499.7972760000011</v>
      </c>
      <c r="M16" s="33">
        <f>147300*K16</f>
        <v>147300</v>
      </c>
      <c r="N16" s="34">
        <f>K16*H16</f>
        <v>113299.77290000003</v>
      </c>
      <c r="O16" s="34">
        <f>K16*I16</f>
        <v>24195.159</v>
      </c>
      <c r="P16" s="34">
        <f t="shared" ref="P16" si="0">SUM(L16:O16)</f>
        <v>290294.72917599999</v>
      </c>
      <c r="Q16" s="25"/>
      <c r="R16" s="25"/>
      <c r="S16" s="25"/>
      <c r="T16" s="25"/>
      <c r="U16" s="20"/>
      <c r="V16" s="17"/>
    </row>
    <row r="17" spans="1:22" ht="30" hidden="1" customHeight="1" x14ac:dyDescent="0.25">
      <c r="A17" s="10"/>
      <c r="B17" s="40" t="s">
        <v>330</v>
      </c>
      <c r="C17" s="37">
        <f>VLOOKUP($B$16:$B$29,'Наименование работ'!B:G,6,)</f>
        <v>0</v>
      </c>
      <c r="D17" s="37">
        <f>VLOOKUP($B$16:$B$29,'Наименование работ'!B:K,10,)</f>
        <v>0</v>
      </c>
      <c r="E17" s="37">
        <f>VLOOKUP($B$16:$B$29,'Наименование работ'!B:M,12,)</f>
        <v>0</v>
      </c>
      <c r="F17" s="37">
        <f>VLOOKUP($B$16:$B$29,'Наименование работ'!B:O,14,)</f>
        <v>0</v>
      </c>
      <c r="G17" s="37">
        <f>VLOOKUP($B$16:$B$29,'Наименование работ'!B:Q,16,)</f>
        <v>0</v>
      </c>
      <c r="H17" s="36">
        <f>VLOOKUP(B17:B30,'Наименование работ'!B:S,18,)</f>
        <v>0</v>
      </c>
      <c r="I17" s="36">
        <f>VLOOKUP($B$16:$B$29,'Наименование работ'!B:R,17,)</f>
        <v>0</v>
      </c>
      <c r="J17" s="38" t="s">
        <v>352</v>
      </c>
      <c r="K17" s="149">
        <v>0</v>
      </c>
      <c r="L17" s="33">
        <f>(N17+O17)*0.04</f>
        <v>0</v>
      </c>
      <c r="M17" s="33">
        <f t="shared" ref="M17:M29" si="1">147300*K17</f>
        <v>0</v>
      </c>
      <c r="N17" s="34">
        <f t="shared" ref="N17:N29" si="2">K17*H17</f>
        <v>0</v>
      </c>
      <c r="O17" s="34">
        <f t="shared" ref="O17:O29" si="3">K17*I17</f>
        <v>0</v>
      </c>
      <c r="P17" s="34">
        <f t="shared" ref="P17" si="4">SUM(L17:O17)</f>
        <v>0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147300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113299.77290000003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24195.159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5499.7972760000011</v>
      </c>
      <c r="Q33" s="32"/>
      <c r="R33" s="32"/>
    </row>
    <row r="34" spans="1:21" ht="16.5" customHeight="1" x14ac:dyDescent="0.25">
      <c r="A34" s="141"/>
      <c r="B34" s="164" t="s">
        <v>12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4">
        <f>SUM(P30:P33)</f>
        <v>290294.72917600005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9" t="s">
        <v>0</v>
      </c>
      <c r="C38" s="169"/>
      <c r="D38" s="169"/>
      <c r="E38" s="169"/>
      <c r="F38" s="171" t="s">
        <v>337</v>
      </c>
      <c r="G38" s="171"/>
      <c r="H38" s="172"/>
      <c r="I38" s="177" t="s">
        <v>354</v>
      </c>
      <c r="J38" s="178"/>
      <c r="K38" s="167" t="s">
        <v>338</v>
      </c>
      <c r="L38" s="167"/>
      <c r="M38" s="167" t="s">
        <v>339</v>
      </c>
      <c r="N38" s="167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0" t="s">
        <v>319</v>
      </c>
      <c r="C39" s="170"/>
      <c r="D39" s="170"/>
      <c r="E39" s="170"/>
      <c r="F39" s="173">
        <f>P33+P30</f>
        <v>152799.797276</v>
      </c>
      <c r="G39" s="173"/>
      <c r="H39" s="174"/>
      <c r="I39" s="179">
        <f>VLOOKUP(H9,O39:P46,2,)</f>
        <v>1.0527260918901</v>
      </c>
      <c r="J39" s="180"/>
      <c r="K39" s="168">
        <f>F39*$I$39</f>
        <v>160856.33342796302</v>
      </c>
      <c r="L39" s="168"/>
      <c r="M39" s="168">
        <f>K39*1.2</f>
        <v>193027.60011355561</v>
      </c>
      <c r="N39" s="16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0" t="s">
        <v>2</v>
      </c>
      <c r="C40" s="170"/>
      <c r="D40" s="170"/>
      <c r="E40" s="170"/>
      <c r="F40" s="175">
        <f>P31</f>
        <v>113299.77290000003</v>
      </c>
      <c r="G40" s="175"/>
      <c r="H40" s="176"/>
      <c r="I40" s="181"/>
      <c r="J40" s="182"/>
      <c r="K40" s="168">
        <f t="shared" ref="K40:K41" si="11">F40*$I$39</f>
        <v>119273.62713705288</v>
      </c>
      <c r="L40" s="168"/>
      <c r="M40" s="168">
        <f>K40*1.2</f>
        <v>143128.35256446345</v>
      </c>
      <c r="N40" s="16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0" t="s">
        <v>3</v>
      </c>
      <c r="C41" s="170"/>
      <c r="D41" s="170"/>
      <c r="E41" s="170"/>
      <c r="F41" s="175">
        <f>P32</f>
        <v>24195.159</v>
      </c>
      <c r="G41" s="175"/>
      <c r="H41" s="176"/>
      <c r="I41" s="181"/>
      <c r="J41" s="182"/>
      <c r="K41" s="168">
        <f t="shared" si="11"/>
        <v>25470.87517672958</v>
      </c>
      <c r="L41" s="168"/>
      <c r="M41" s="190">
        <f t="shared" ref="M41" si="12">K41*1.2</f>
        <v>30565.050212075494</v>
      </c>
      <c r="N41" s="190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0" t="s">
        <v>4</v>
      </c>
      <c r="C42" s="170"/>
      <c r="D42" s="170"/>
      <c r="E42" s="170"/>
      <c r="F42" s="175"/>
      <c r="G42" s="175"/>
      <c r="H42" s="176"/>
      <c r="I42" s="181"/>
      <c r="J42" s="182"/>
      <c r="K42" s="195">
        <f>SUM(F43:H45)*$I$39</f>
        <v>62770.411661354519</v>
      </c>
      <c r="L42" s="196"/>
      <c r="M42" s="195">
        <f>K42*1.2</f>
        <v>75324.493993625423</v>
      </c>
      <c r="N42" s="196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1" t="s">
        <v>356</v>
      </c>
      <c r="C43" s="201"/>
      <c r="D43" s="201"/>
      <c r="E43" s="201"/>
      <c r="F43" s="199">
        <f>SUM(F39:H41)/100*P49</f>
        <v>6212.3072043664006</v>
      </c>
      <c r="G43" s="199"/>
      <c r="H43" s="200"/>
      <c r="I43" s="181"/>
      <c r="J43" s="182"/>
      <c r="K43" s="197"/>
      <c r="L43" s="198"/>
      <c r="M43" s="197"/>
      <c r="N43" s="198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1" t="s">
        <v>358</v>
      </c>
      <c r="C44" s="201"/>
      <c r="D44" s="201"/>
      <c r="E44" s="201"/>
      <c r="F44" s="199">
        <f>SUM(F39:H41)/100*P50</f>
        <v>33964.483313591998</v>
      </c>
      <c r="G44" s="199"/>
      <c r="H44" s="200"/>
      <c r="I44" s="181"/>
      <c r="J44" s="182"/>
      <c r="K44" s="197"/>
      <c r="L44" s="198"/>
      <c r="M44" s="197"/>
      <c r="N44" s="198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2" t="s">
        <v>357</v>
      </c>
      <c r="C45" s="202"/>
      <c r="D45" s="202"/>
      <c r="E45" s="202"/>
      <c r="F45" s="199">
        <f>SUM(F39:H41)/100*P51</f>
        <v>19449.746854792</v>
      </c>
      <c r="G45" s="199"/>
      <c r="H45" s="200"/>
      <c r="I45" s="181"/>
      <c r="J45" s="182"/>
      <c r="K45" s="197"/>
      <c r="L45" s="198"/>
      <c r="M45" s="197"/>
      <c r="N45" s="198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3" t="s">
        <v>81</v>
      </c>
      <c r="B46" s="203"/>
      <c r="C46" s="203"/>
      <c r="D46" s="203"/>
      <c r="E46" s="203"/>
      <c r="F46" s="194">
        <f>SUM(F39:H45)</f>
        <v>349921.2665487504</v>
      </c>
      <c r="G46" s="194"/>
      <c r="H46" s="194"/>
      <c r="I46" s="194"/>
      <c r="J46" s="194"/>
      <c r="K46" s="193">
        <f>SUM(K39:L45)</f>
        <v>368371.24740310002</v>
      </c>
      <c r="L46" s="193"/>
      <c r="M46" s="193">
        <f>SUM(M39:N45)</f>
        <v>442045.49688371993</v>
      </c>
      <c r="N46" s="19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2" t="s">
        <v>342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2" t="s">
        <v>345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1" t="s">
        <v>343</v>
      </c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1" t="s">
        <v>344</v>
      </c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2024-02-21T13:25:43Z</dcterms:modified>
</cp:coreProperties>
</file>