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2-1-06-1-08-03-0-1845\"/>
    </mc:Choice>
  </mc:AlternateContent>
  <xr:revisionPtr revIDLastSave="0" documentId="13_ncr:1_{29536B90-E988-4EFC-BF59-4BF9FB335E4D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" l="1"/>
  <c r="I21" i="4"/>
  <c r="O21" i="4" s="1"/>
  <c r="H21" i="4"/>
  <c r="N21" i="4" s="1"/>
  <c r="L21" i="4" s="1"/>
  <c r="P21" i="4" s="1"/>
  <c r="G21" i="4"/>
  <c r="F21" i="4"/>
  <c r="E21" i="4"/>
  <c r="D21" i="4"/>
  <c r="C21" i="4"/>
  <c r="M20" i="4"/>
  <c r="I20" i="4"/>
  <c r="O20" i="4" s="1"/>
  <c r="H20" i="4"/>
  <c r="N20" i="4" s="1"/>
  <c r="G20" i="4"/>
  <c r="F20" i="4"/>
  <c r="E20" i="4"/>
  <c r="D20" i="4"/>
  <c r="C20" i="4"/>
  <c r="M19" i="4"/>
  <c r="I19" i="4"/>
  <c r="O19" i="4" s="1"/>
  <c r="H19" i="4"/>
  <c r="N19" i="4" s="1"/>
  <c r="L19" i="4" s="1"/>
  <c r="P19" i="4" s="1"/>
  <c r="G19" i="4"/>
  <c r="F19" i="4"/>
  <c r="E19" i="4"/>
  <c r="D19" i="4"/>
  <c r="C19" i="4"/>
  <c r="L20" i="4" l="1"/>
  <c r="P20" i="4" s="1"/>
  <c r="M17" i="4" l="1"/>
  <c r="M18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22" i="4"/>
  <c r="C23" i="4"/>
  <c r="C24" i="4"/>
  <c r="C25" i="4"/>
  <c r="C26" i="4"/>
  <c r="C27" i="4"/>
  <c r="C28" i="4"/>
  <c r="C29" i="4"/>
  <c r="C16" i="4"/>
  <c r="H23" i="4" l="1"/>
  <c r="H22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P285" i="5"/>
  <c r="I285" i="5" s="1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I221" i="5" s="1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N191" i="5"/>
  <c r="H191" i="5"/>
  <c r="E191" i="5"/>
  <c r="P191" i="5" s="1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N166" i="5"/>
  <c r="E166" i="5"/>
  <c r="C166" i="5" s="1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L59" i="5"/>
  <c r="H59" i="5"/>
  <c r="C59" i="5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I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59" i="5" l="1"/>
  <c r="P105" i="5"/>
  <c r="I130" i="5"/>
  <c r="J130" i="5" s="1"/>
  <c r="I202" i="5"/>
  <c r="I251" i="5"/>
  <c r="S251" i="5" s="1"/>
  <c r="I263" i="5"/>
  <c r="I11" i="5"/>
  <c r="P5" i="5"/>
  <c r="I48" i="5"/>
  <c r="I55" i="5"/>
  <c r="I63" i="5"/>
  <c r="S63" i="5" s="1"/>
  <c r="P97" i="5"/>
  <c r="I97" i="5" s="1"/>
  <c r="I138" i="5"/>
  <c r="P166" i="5"/>
  <c r="I223" i="5"/>
  <c r="I226" i="5"/>
  <c r="I229" i="5"/>
  <c r="S229" i="5" s="1"/>
  <c r="I28" i="5"/>
  <c r="I47" i="5"/>
  <c r="P104" i="5"/>
  <c r="P143" i="5"/>
  <c r="I220" i="5"/>
  <c r="I5" i="5"/>
  <c r="J5" i="5" s="1"/>
  <c r="I25" i="5"/>
  <c r="I39" i="5"/>
  <c r="I45" i="5"/>
  <c r="S45" i="5" s="1"/>
  <c r="I60" i="5"/>
  <c r="C186" i="5"/>
  <c r="L186" i="5" s="1"/>
  <c r="I203" i="5"/>
  <c r="S203" i="5" s="1"/>
  <c r="I209" i="5"/>
  <c r="I249" i="5"/>
  <c r="I255" i="5"/>
  <c r="J255" i="5" s="1"/>
  <c r="I256" i="5"/>
  <c r="I261" i="5"/>
  <c r="J261" i="5" s="1"/>
  <c r="I286" i="5"/>
  <c r="J286" i="5" s="1"/>
  <c r="I289" i="5"/>
  <c r="I71" i="5"/>
  <c r="P155" i="5"/>
  <c r="C160" i="5"/>
  <c r="L160" i="5" s="1"/>
  <c r="I224" i="5"/>
  <c r="I227" i="5"/>
  <c r="J227" i="5" s="1"/>
  <c r="I239" i="5"/>
  <c r="I245" i="5"/>
  <c r="J223" i="5"/>
  <c r="S223" i="5"/>
  <c r="J47" i="5"/>
  <c r="S47" i="5"/>
  <c r="J271" i="5"/>
  <c r="S271" i="5"/>
  <c r="J45" i="5"/>
  <c r="J209" i="5"/>
  <c r="S209" i="5"/>
  <c r="J138" i="5"/>
  <c r="S138" i="5"/>
  <c r="J71" i="5"/>
  <c r="S71" i="5"/>
  <c r="J245" i="5"/>
  <c r="S245" i="5"/>
  <c r="S130" i="5"/>
  <c r="J263" i="5"/>
  <c r="S263" i="5"/>
  <c r="J173" i="5"/>
  <c r="S173" i="5"/>
  <c r="J207" i="5"/>
  <c r="S207" i="5"/>
  <c r="J237" i="5"/>
  <c r="S237" i="5"/>
  <c r="J39" i="5"/>
  <c r="S39" i="5"/>
  <c r="S5" i="5"/>
  <c r="I16" i="5"/>
  <c r="I23" i="5"/>
  <c r="I46" i="5"/>
  <c r="I69" i="5"/>
  <c r="P81" i="5"/>
  <c r="C85" i="5"/>
  <c r="L85" i="5" s="1"/>
  <c r="I85" i="5" s="1"/>
  <c r="I141" i="5"/>
  <c r="I210" i="5"/>
  <c r="I213" i="5"/>
  <c r="I277" i="5"/>
  <c r="J198" i="5"/>
  <c r="S198" i="5"/>
  <c r="P107" i="5"/>
  <c r="I107" i="5" s="1"/>
  <c r="P115" i="5"/>
  <c r="P152" i="5"/>
  <c r="P190" i="5"/>
  <c r="I190" i="5" s="1"/>
  <c r="J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C80" i="5"/>
  <c r="L80" i="5" s="1"/>
  <c r="I80" i="5" s="1"/>
  <c r="C109" i="5"/>
  <c r="L109" i="5" s="1"/>
  <c r="C158" i="5"/>
  <c r="L158" i="5" s="1"/>
  <c r="J249" i="5"/>
  <c r="S249" i="5"/>
  <c r="I31" i="5"/>
  <c r="J76" i="5"/>
  <c r="S76" i="5"/>
  <c r="J203" i="5"/>
  <c r="J220" i="5"/>
  <c r="S220" i="5"/>
  <c r="J226" i="5"/>
  <c r="S226" i="5"/>
  <c r="J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4" i="5" s="1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I169" i="5" s="1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I189" i="5"/>
  <c r="J97" i="5" l="1"/>
  <c r="S97" i="5"/>
  <c r="S255" i="5"/>
  <c r="S227" i="5"/>
  <c r="S261" i="5"/>
  <c r="I162" i="5"/>
  <c r="J162" i="5" s="1"/>
  <c r="I168" i="5"/>
  <c r="I128" i="5"/>
  <c r="I178" i="5"/>
  <c r="J178" i="5" s="1"/>
  <c r="J80" i="5"/>
  <c r="S80" i="5"/>
  <c r="J116" i="5"/>
  <c r="S116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S162" i="5" l="1"/>
  <c r="J84" i="5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2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<sst xmlns="http://schemas.openxmlformats.org/spreadsheetml/2006/main" count="407" uniqueCount="368">
  <si>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</si>
  <si>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</si>
  <si>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</si>
  <si>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</si>
  <si>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</si>
  <si>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</si>
  <si>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</si>
  <si>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</si>
  <si>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</si>
  <si>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</si>
  <si>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</si>
  <si>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</si>
  <si>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</si>
  <si>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</si>
  <si>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</si>
  <si>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</si>
  <si>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</si>
  <si>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</si>
  <si>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</si>
  <si>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</si>
  <si>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</si>
  <si>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</si>
  <si>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</si>
  <si>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</si>
  <si>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</si>
  <si>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</si>
  <si>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</si>
  <si>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</si>
  <si>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</si>
  <si>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</si>
  <si>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</si>
  <si>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</si>
  <si>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</si>
  <si>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</si>
  <si>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</si>
  <si>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</si>
  <si>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</si>
  <si>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</si>
  <si>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</si>
  <si>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</si>
  <si>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</si>
  <si>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</si>
  <si>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</si>
  <si>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</si>
  <si>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</si>
  <si>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</si>
  <si>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</si>
  <si>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</si>
  <si>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</si>
  <si>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</si>
  <si>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</si>
  <si>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</si>
  <si>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</si>
  <si>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</si>
  <si>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</si>
  <si>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</si>
  <si>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</si>
  <si>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</si>
  <si>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</si>
  <si>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</si>
  <si>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</si>
  <si>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</si>
  <si>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</si>
  <si>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</si>
  <si>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</si>
  <si>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</si>
  <si>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</si>
  <si>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</si>
  <si>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</si>
  <si>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</si>
  <si>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</si>
  <si>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</si>
  <si>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</si>
  <si>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</si>
  <si>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</si>
  <si>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</si>
  <si>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</si>
  <si>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</si>
  <si>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</si>
  <si>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</si>
  <si>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</si>
  <si>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</si>
  <si>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</si>
  <si>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</si>
  <si>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</si>
  <si>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</si>
  <si>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</si>
  <si>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</si>
  <si>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</si>
  <si>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</si>
  <si>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</si>
  <si>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</si>
  <si>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</si>
  <si>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</si>
  <si>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</si>
  <si>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</si>
  <si>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</si>
  <si>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</si>
  <si>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</si>
  <si>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</si>
  <si>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</si>
  <si>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</si>
  <si>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</si>
  <si>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</si>
  <si>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</si>
  <si>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</si>
  <si>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</si>
  <si>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</si>
  <si>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</si>
  <si>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</si>
  <si>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</si>
  <si>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</si>
  <si>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</si>
  <si>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</si>
  <si>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</si>
  <si>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</si>
  <si>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</si>
  <si>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</si>
  <si>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</si>
  <si>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</si>
  <si>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</si>
  <si>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</si>
  <si>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</si>
  <si>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</si>
  <si>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</si>
  <si>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</si>
  <si>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</si>
  <si>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</si>
  <si>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</si>
  <si>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</si>
  <si>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</si>
  <si>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</si>
  <si>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</si>
  <si>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</si>
  <si>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</si>
  <si>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</si>
  <si>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</si>
  <si>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</si>
  <si>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</si>
  <si>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</si>
  <si>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</si>
  <si>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</si>
  <si>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</si>
  <si>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</si>
  <si>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</si>
  <si>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</si>
  <si>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</si>
  <si>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</si>
  <si>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</si>
  <si>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</si>
  <si>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</si>
  <si>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</si>
  <si>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</si>
  <si>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</si>
  <si>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</si>
  <si>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</si>
  <si>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</si>
  <si>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</si>
  <si>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</si>
  <si>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</si>
  <si>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</si>
  <si>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</si>
  <si>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</si>
  <si>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</si>
  <si>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</si>
  <si>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</si>
  <si>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</si>
  <si>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</si>
  <si>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</si>
  <si>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</si>
  <si>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</si>
  <si>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</si>
  <si>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</si>
  <si>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</si>
  <si>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</si>
  <si>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</si>
  <si>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</si>
  <si>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</si>
  <si>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</si>
  <si>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</si>
  <si>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</si>
  <si>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</si>
  <si>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</si>
  <si>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</si>
  <si>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</si>
  <si>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</si>
  <si>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</si>
  <si>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</si>
  <si>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</si>
  <si>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</si>
  <si>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</si>
  <si>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</si>
  <si>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</si>
  <si>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</si>
  <si>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</si>
  <si>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</si>
  <si>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</si>
  <si>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</si>
  <si>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</si>
  <si>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</si>
  <si>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</si>
  <si>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</si>
  <si>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</si>
  <si>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</si>
  <si>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</si>
  <si>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</si>
  <si>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</si>
  <si>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</si>
  <si>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</si>
  <si>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</si>
  <si>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</si>
  <si>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</si>
  <si>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</si>
  <si>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</si>
  <si>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</si>
  <si>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</si>
  <si>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</si>
  <si>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</si>
  <si>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</si>
  <si>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</si>
  <si>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</si>
  <si>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</si>
  <si>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</si>
  <si>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</si>
  <si>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</si>
  <si>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</si>
  <si>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</si>
  <si>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</si>
  <si>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</si>
  <si>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</si>
  <si>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</si>
  <si>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</si>
  <si>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</si>
  <si>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</si>
  <si>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</si>
  <si>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</si>
  <si>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</si>
  <si>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</si>
  <si>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</si>
  <si>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</si>
  <si>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</si>
  <si>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</si>
  <si>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</si>
  <si>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</si>
  <si>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</si>
  <si>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</si>
  <si>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</si>
  <si>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</si>
  <si>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</si>
  <si>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</si>
  <si>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</si>
  <si>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</si>
  <si>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</si>
  <si>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</si>
  <si>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</si>
  <si>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</si>
  <si>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</si>
  <si>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</si>
  <si>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</si>
  <si>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</si>
  <si>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</si>
  <si>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</si>
  <si>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</si>
  <si>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</si>
  <si>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</si>
  <si>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</si>
  <si>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</si>
  <si>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</si>
  <si>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</si>
  <si>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</si>
  <si>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</si>
  <si>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</si>
  <si>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</si>
  <si>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</si>
  <si>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</si>
  <si>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</si>
  <si>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</si>
  <si>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</si>
  <si>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</si>
  <si>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</si>
  <si>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</si>
  <si>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</si>
  <si>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</si>
  <si>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</si>
  <si>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</si>
  <si>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</si>
  <si>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</si>
  <si>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</si>
  <si>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</si>
  <si>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</si>
  <si>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</si>
  <si>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</si>
  <si>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</si>
  <si>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</si>
  <si>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</si>
  <si>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</si>
  <si>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</si>
  <si>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</si>
  <si>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</si>
  <si>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</si>
  <si>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</si>
  <si>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</si>
  <si>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</si>
  <si>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</si>
  <si>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</si>
  <si>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</si>
  <si>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</si>
  <si>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</si>
  <si>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</si>
  <si>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</si>
  <si>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</si>
  <si>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</si>
  <si>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</si>
  <si>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</si>
  <si>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</si>
  <si>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</si>
  <si>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</si>
  <si>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</si>
  <si>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</si>
  <si>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</si>
  <si>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</si>
  <si>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</si>
  <si>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</si>
  <si>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</si>
  <si>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</si>
  <si>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</si>
  <si>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</si>
  <si>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</si>
  <si>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</si>
  <si>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</si>
  <si>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</si>
  <si>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</si>
  <si>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</si>
  <si>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</si>
  <si>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</si>
  <si>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</si>
  <si>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</si>
  <si>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</si>
  <si>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</si>
  <si>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</si>
  <si>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</si>
  <si>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</si>
  <si>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</si>
  <si>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</si>
  <si>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</si>
  <si>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</si>
  <si>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</si>
  <si>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</si>
  <si>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</si>
  <si>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</si>
  <si>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</si>
  <si>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</si>
  <si>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</si>
  <si>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</si>
  <si>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</si>
  <si>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</si>
  <si>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</si>
  <si>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</si>
  <si>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</si>
  <si>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</si>
  <si>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</si>
  <si>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</si>
  <si>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</si>
  <si>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шт</t>
  </si>
  <si>
    <t>км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</si>
  <si>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</si>
  <si>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N_22-1-06-1-08-03-0-1845</t>
  </si>
  <si>
    <t>Строительство ТП-10/0,4 кВ мощностью 1,26 МВА, КЛ-10/0,4 кВ протяженностью 1,06 км по договору ТП 06-046/005-ПС-22 (УС Гатчинского МР) в г. Гатчина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</si>
</sst>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1" fillId="0" borderId="1" xfId="2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28515625" style="2" customWidth="1"/>
    <col min="15" max="15" width="11.42578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30" customHeight="1" x14ac:dyDescent="0.25">
      <c r="A5" s="147" t="s">
        <v>367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6" t="s">
        <v>8</v>
      </c>
      <c r="H7" s="155" t="s">
        <v>366</v>
      </c>
      <c r="I7" s="155"/>
      <c r="J7" s="155"/>
      <c r="K7" s="155"/>
      <c r="L7" s="155"/>
      <c r="M7" s="155"/>
      <c r="N7" s="155"/>
      <c r="O7" s="155"/>
      <c r="P7" s="155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49" t="s">
        <v>78</v>
      </c>
      <c r="I9" s="149"/>
      <c r="J9" s="149"/>
      <c r="K9" s="149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361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48" t="s">
        <v>9</v>
      </c>
      <c r="B13" s="148" t="s">
        <v>12</v>
      </c>
      <c r="C13" s="150" t="s">
        <v>345</v>
      </c>
      <c r="D13" s="152" t="s">
        <v>328</v>
      </c>
      <c r="E13" s="153"/>
      <c r="F13" s="153"/>
      <c r="G13" s="154"/>
      <c r="H13" s="150" t="s">
        <v>346</v>
      </c>
      <c r="I13" s="150" t="s">
        <v>362</v>
      </c>
      <c r="J13" s="148" t="s">
        <v>10</v>
      </c>
      <c r="K13" s="14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46" t="s">
        <v>350</v>
      </c>
      <c r="Q13" s="27"/>
    </row>
    <row r="14" spans="1:22" ht="33.75" customHeight="1" x14ac:dyDescent="0.25">
      <c r="A14" s="148"/>
      <c r="B14" s="148"/>
      <c r="C14" s="151"/>
      <c r="D14" s="106" t="s">
        <v>94</v>
      </c>
      <c r="E14" s="106" t="s">
        <v>96</v>
      </c>
      <c r="F14" s="106" t="s">
        <v>98</v>
      </c>
      <c r="G14" s="106" t="s">
        <v>327</v>
      </c>
      <c r="H14" s="151"/>
      <c r="I14" s="151"/>
      <c r="J14" s="148"/>
      <c r="K14" s="146"/>
      <c r="L14" s="105" t="s">
        <v>1</v>
      </c>
      <c r="M14" s="105" t="s">
        <v>326</v>
      </c>
      <c r="N14" s="105" t="s">
        <v>2</v>
      </c>
      <c r="O14" s="105" t="s">
        <v>3</v>
      </c>
      <c r="P14" s="14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56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8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15.75" x14ac:dyDescent="0.25">
      <c r="A16" s="11"/>
      <c r="B16" s="48" t="s">
        <v>127</v>
      </c>
      <c r="C16" s="45">
        <f>VLOOKUP($B$16:$B$29,'Наименование работ'!B:H,6,)</f>
        <v>1752897.05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6440814.154099999</v>
      </c>
      <c r="I16" s="44">
        <f>VLOOKUP($B$16:$B$29,'Наименование работ'!B:R,17,)</f>
        <v>8450154.9476000015</v>
      </c>
      <c r="J16" s="46" t="s">
        <v>363</v>
      </c>
      <c r="K16" s="124">
        <v>1</v>
      </c>
      <c r="L16" s="40">
        <f>(N16+O16)*0.08</f>
        <v>1191277.528136</v>
      </c>
      <c r="M16" s="40">
        <f>U15*K16</f>
        <v>147300</v>
      </c>
      <c r="N16" s="42">
        <f>K16*H16</f>
        <v>6440814.154099999</v>
      </c>
      <c r="O16" s="42">
        <f>K16*I16</f>
        <v>8450154.9476000015</v>
      </c>
      <c r="P16" s="42">
        <f t="shared" ref="P16" si="0">SUM(L16:O16)</f>
        <v>16229546.629836001</v>
      </c>
      <c r="Q16" s="28"/>
      <c r="R16" s="28"/>
      <c r="S16" s="28"/>
      <c r="T16" s="28"/>
      <c r="U16" s="22"/>
      <c r="V16" s="18"/>
    </row>
    <row r="17" spans="1:22" ht="26.25" x14ac:dyDescent="0.25">
      <c r="A17" s="11"/>
      <c r="B17" s="48" t="s">
        <v>72</v>
      </c>
      <c r="C17" s="45">
        <f>VLOOKUP($B$16:$B$29,'Наименование работ'!B:H,6,)</f>
        <v>2225680.5</v>
      </c>
      <c r="D17" s="45">
        <f>VLOOKUP($B$16:$B$29,'Наименование работ'!B:K,10,)</f>
        <v>17.96</v>
      </c>
      <c r="E17" s="45">
        <f>VLOOKUP($B$16:$B$29,'Наименование работ'!B:M,12,)</f>
        <v>8</v>
      </c>
      <c r="F17" s="45">
        <f>VLOOKUP($B$16:$B$29,'Наименование работ'!B:O,14,)</f>
        <v>3.62</v>
      </c>
      <c r="G17" s="45">
        <f>VLOOKUP($B$16:$B$29,'Наименование работ'!B:Q,16,)</f>
        <v>0</v>
      </c>
      <c r="H17" s="44">
        <f>VLOOKUP(B17:B30,'Наименование работ'!B:S,18,)</f>
        <v>13851789.267000001</v>
      </c>
      <c r="I17" s="44">
        <f>VLOOKUP($B$16:$B$29,'Наименование работ'!B:R,17,)</f>
        <v>0</v>
      </c>
      <c r="J17" s="46" t="s">
        <v>364</v>
      </c>
      <c r="K17" s="124">
        <v>0.26</v>
      </c>
      <c r="L17" s="40">
        <f t="shared" ref="L17:L29" ca="1" si="1">(N17+O17)*0.08</f>
        <v>288117.21675360005</v>
      </c>
      <c r="M17" s="40">
        <f t="shared" ref="M17:M29" si="2">U16*K17</f>
        <v>0</v>
      </c>
      <c r="N17" s="42">
        <f t="shared" ref="N17:N29" ca="1" si="3">K17*H17</f>
        <v>3601465.2094200002</v>
      </c>
      <c r="O17" s="42">
        <f t="shared" ref="O17:O29" ca="1" si="4">K17*I17</f>
        <v>0</v>
      </c>
      <c r="P17" s="42">
        <f t="shared" ref="P17" ca="1" si="5">SUM(L17:O17)</f>
        <v>3889582.4261736004</v>
      </c>
      <c r="Q17" s="28"/>
      <c r="R17" s="28"/>
      <c r="S17" s="28"/>
      <c r="T17" s="28"/>
      <c r="U17" s="22"/>
      <c r="V17" s="18"/>
    </row>
    <row r="18" spans="1:22" ht="26.25" x14ac:dyDescent="0.25">
      <c r="A18" s="11"/>
      <c r="B18" s="48" t="s">
        <v>270</v>
      </c>
      <c r="C18" s="45">
        <f>VLOOKUP($B$16:$B$29,'Наименование работ'!B:H,6,)</f>
        <v>2454749.98</v>
      </c>
      <c r="D18" s="45">
        <f>VLOOKUP($B$16:$B$29,'Наименование работ'!B:K,10,)</f>
        <v>17.96</v>
      </c>
      <c r="E18" s="45">
        <f>VLOOKUP($B$16:$B$29,'Наименование работ'!B:M,12,)</f>
        <v>8</v>
      </c>
      <c r="F18" s="45">
        <f>VLOOKUP($B$16:$B$29,'Наименование работ'!B:O,14,)</f>
        <v>3.62</v>
      </c>
      <c r="G18" s="45">
        <f>VLOOKUP($B$16:$B$29,'Наименование работ'!B:Q,16,)</f>
        <v>0</v>
      </c>
      <c r="H18" s="44">
        <f>VLOOKUP(B18:B31,'Наименование работ'!B:S,18,)</f>
        <v>15035678.1404</v>
      </c>
      <c r="I18" s="44">
        <f>VLOOKUP($B$16:$B$29,'Наименование работ'!B:R,17,)</f>
        <v>0</v>
      </c>
      <c r="J18" s="46" t="s">
        <v>364</v>
      </c>
      <c r="K18" s="124">
        <v>0.2</v>
      </c>
      <c r="L18" s="40">
        <f t="shared" ca="1" si="1"/>
        <v>240570.85024640002</v>
      </c>
      <c r="M18" s="40">
        <f t="shared" si="2"/>
        <v>0</v>
      </c>
      <c r="N18" s="42">
        <f t="shared" ca="1" si="3"/>
        <v>3007135.6280800002</v>
      </c>
      <c r="O18" s="42">
        <f t="shared" ca="1" si="4"/>
        <v>0</v>
      </c>
      <c r="P18" s="42">
        <f t="shared" ref="P18:P21" ca="1" si="6">SUM(L18:O18)</f>
        <v>3247706.4783264003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352</v>
      </c>
      <c r="K19" s="124">
        <v>0</v>
      </c>
      <c r="L19" s="40">
        <f t="shared" ref="L19:L21" ca="1" si="7">(N19+O19)*0.08</f>
        <v>0</v>
      </c>
      <c r="M19" s="40">
        <f t="shared" ref="M19:M21" ca="1" si="8">U18*K19</f>
        <v>0</v>
      </c>
      <c r="N19" s="42">
        <f t="shared" ref="N19:N21" ca="1" si="9">K19*H19</f>
        <v>0</v>
      </c>
      <c r="O19" s="42">
        <f t="shared" ref="O19:O21" ca="1" si="10">K19*I19</f>
        <v>0</v>
      </c>
      <c r="P19" s="42">
        <f t="shared" ca="1" si="6"/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352</v>
      </c>
      <c r="K20" s="124">
        <v>0</v>
      </c>
      <c r="L20" s="40">
        <f t="shared" ca="1" si="7"/>
        <v>0</v>
      </c>
      <c r="M20" s="40">
        <f t="shared" ca="1" si="8"/>
        <v>0</v>
      </c>
      <c r="N20" s="42">
        <f t="shared" ca="1" si="9"/>
        <v>0</v>
      </c>
      <c r="O20" s="42">
        <f t="shared" ca="1" si="10"/>
        <v>0</v>
      </c>
      <c r="P20" s="42">
        <f t="shared" ca="1" si="6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352</v>
      </c>
      <c r="K21" s="124">
        <v>0</v>
      </c>
      <c r="L21" s="40">
        <f t="shared" ca="1" si="7"/>
        <v>0</v>
      </c>
      <c r="M21" s="40">
        <f t="shared" ca="1" si="8"/>
        <v>0</v>
      </c>
      <c r="N21" s="42">
        <f t="shared" ca="1" si="9"/>
        <v>0</v>
      </c>
      <c r="O21" s="42">
        <f t="shared" ca="1" si="10"/>
        <v>0</v>
      </c>
      <c r="P21" s="42">
        <f t="shared" ca="1" si="6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352</v>
      </c>
      <c r="K22" s="104">
        <v>0</v>
      </c>
      <c r="L22" s="40">
        <f t="shared" ca="1" si="1"/>
        <v>0</v>
      </c>
      <c r="M22" s="40">
        <f t="shared" ca="1" si="2"/>
        <v>0</v>
      </c>
      <c r="N22" s="42">
        <f t="shared" ca="1" si="3"/>
        <v>0</v>
      </c>
      <c r="O22" s="42">
        <f t="shared" ca="1" si="4"/>
        <v>0</v>
      </c>
      <c r="P22" s="42">
        <f t="shared" ref="P22:P23" ca="1" si="11">SUM(L22:O22)</f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352</v>
      </c>
      <c r="K23" s="104">
        <v>0</v>
      </c>
      <c r="L23" s="40">
        <f t="shared" ca="1" si="1"/>
        <v>0</v>
      </c>
      <c r="M23" s="40">
        <f t="shared" ca="1" si="2"/>
        <v>0</v>
      </c>
      <c r="N23" s="42">
        <f t="shared" ca="1" si="3"/>
        <v>0</v>
      </c>
      <c r="O23" s="42">
        <f t="shared" ca="1" si="4"/>
        <v>0</v>
      </c>
      <c r="P23" s="42">
        <f t="shared" ca="1" si="11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352</v>
      </c>
      <c r="K24" s="104">
        <v>0</v>
      </c>
      <c r="L24" s="40">
        <f t="shared" ca="1" si="1"/>
        <v>0</v>
      </c>
      <c r="M24" s="40">
        <f t="shared" ca="1" si="2"/>
        <v>0</v>
      </c>
      <c r="N24" s="42">
        <f t="shared" ref="N24:N28" ca="1" si="12">K24*H24</f>
        <v>0</v>
      </c>
      <c r="O24" s="42">
        <f t="shared" ca="1" si="4"/>
        <v>0</v>
      </c>
      <c r="P24" s="42">
        <f t="shared" ref="P24:P28" ca="1" si="13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352</v>
      </c>
      <c r="K25" s="104">
        <v>0</v>
      </c>
      <c r="L25" s="40">
        <f t="shared" ca="1" si="1"/>
        <v>0</v>
      </c>
      <c r="M25" s="40">
        <f t="shared" ca="1" si="2"/>
        <v>0</v>
      </c>
      <c r="N25" s="42">
        <f t="shared" ca="1" si="12"/>
        <v>0</v>
      </c>
      <c r="O25" s="42">
        <f t="shared" ca="1" si="4"/>
        <v>0</v>
      </c>
      <c r="P25" s="42">
        <f t="shared" ca="1" si="13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352</v>
      </c>
      <c r="K26" s="104">
        <v>0</v>
      </c>
      <c r="L26" s="40">
        <f t="shared" ca="1" si="1"/>
        <v>0</v>
      </c>
      <c r="M26" s="40">
        <f t="shared" ca="1" si="2"/>
        <v>0</v>
      </c>
      <c r="N26" s="42">
        <f t="shared" ca="1" si="12"/>
        <v>0</v>
      </c>
      <c r="O26" s="42">
        <f t="shared" ca="1" si="4"/>
        <v>0</v>
      </c>
      <c r="P26" s="42">
        <f t="shared" ca="1" si="13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352</v>
      </c>
      <c r="K27" s="104">
        <v>0</v>
      </c>
      <c r="L27" s="40">
        <f t="shared" ca="1" si="1"/>
        <v>0</v>
      </c>
      <c r="M27" s="40">
        <f t="shared" ca="1" si="2"/>
        <v>0</v>
      </c>
      <c r="N27" s="42">
        <f t="shared" ca="1" si="12"/>
        <v>0</v>
      </c>
      <c r="O27" s="42">
        <f t="shared" ca="1" si="4"/>
        <v>0</v>
      </c>
      <c r="P27" s="42">
        <f t="shared" ca="1" si="13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352</v>
      </c>
      <c r="K28" s="104">
        <v>0</v>
      </c>
      <c r="L28" s="40">
        <f t="shared" ca="1" si="1"/>
        <v>0</v>
      </c>
      <c r="M28" s="40">
        <f t="shared" ca="1" si="2"/>
        <v>0</v>
      </c>
      <c r="N28" s="42">
        <f t="shared" ca="1" si="12"/>
        <v>0</v>
      </c>
      <c r="O28" s="42">
        <f t="shared" ca="1" si="4"/>
        <v>0</v>
      </c>
      <c r="P28" s="42">
        <f t="shared" ca="1" si="13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352</v>
      </c>
      <c r="K29" s="104">
        <v>0</v>
      </c>
      <c r="L29" s="40">
        <f t="shared" ca="1" si="1"/>
        <v>0</v>
      </c>
      <c r="M29" s="40">
        <f t="shared" ca="1" si="2"/>
        <v>0</v>
      </c>
      <c r="N29" s="42">
        <f t="shared" ca="1" si="3"/>
        <v>0</v>
      </c>
      <c r="O29" s="42">
        <f t="shared" ca="1" si="4"/>
        <v>0</v>
      </c>
      <c r="P29" s="42">
        <f t="shared" ref="P29" ca="1" si="14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41" t="s">
        <v>326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3"/>
      <c r="P30" s="42">
        <f ca="1">SUM(M16:M29)</f>
        <v>147300</v>
      </c>
    </row>
    <row r="31" spans="1:22" ht="12.75" customHeight="1" x14ac:dyDescent="0.25">
      <c r="A31" s="9"/>
      <c r="B31" s="141" t="s">
        <v>2</v>
      </c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3"/>
      <c r="P31" s="43">
        <f ca="1">SUM(N16:N29)</f>
        <v>13049414.991599999</v>
      </c>
    </row>
    <row r="32" spans="1:22" ht="12.75" customHeight="1" x14ac:dyDescent="0.25">
      <c r="A32" s="9"/>
      <c r="B32" s="141" t="s">
        <v>3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  <c r="P32" s="43">
        <f ca="1">SUM(O16:O29)</f>
        <v>8450154.9476000015</v>
      </c>
    </row>
    <row r="33" spans="1:21" ht="12.75" customHeight="1" x14ac:dyDescent="0.25">
      <c r="A33" s="9"/>
      <c r="B33" s="141" t="s">
        <v>358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3"/>
      <c r="P33" s="43">
        <f ca="1">SUM(L16:L29)</f>
        <v>1719965.5951360003</v>
      </c>
      <c r="Q33" s="36"/>
      <c r="R33" s="36"/>
    </row>
    <row r="34" spans="1:21" ht="12.75" customHeight="1" x14ac:dyDescent="0.25">
      <c r="A34" s="9"/>
      <c r="B34" s="159" t="s">
        <v>15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1"/>
      <c r="P34" s="41">
        <f ca="1">SUM(P30:P33)</f>
        <v>23366835.534336001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87.75" customHeight="1" x14ac:dyDescent="0.25">
      <c r="A38" s="37" t="s">
        <v>9</v>
      </c>
      <c r="B38" s="148" t="s">
        <v>0</v>
      </c>
      <c r="C38" s="148"/>
      <c r="D38" s="148"/>
      <c r="E38" s="148"/>
      <c r="F38" s="153" t="s">
        <v>348</v>
      </c>
      <c r="G38" s="153"/>
      <c r="H38" s="154"/>
      <c r="I38" s="164" t="s">
        <v>357</v>
      </c>
      <c r="J38" s="165"/>
      <c r="K38" s="146" t="s">
        <v>349</v>
      </c>
      <c r="L38" s="146"/>
      <c r="M38" s="146" t="s">
        <v>351</v>
      </c>
      <c r="N38" s="146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6" t="s">
        <v>329</v>
      </c>
      <c r="C39" s="136"/>
      <c r="D39" s="136"/>
      <c r="E39" s="136"/>
      <c r="F39" s="162">
        <f ca="1">P33+P30</f>
        <v>1867265.5951360003</v>
      </c>
      <c r="G39" s="162"/>
      <c r="H39" s="163"/>
      <c r="I39" s="166">
        <f>VLOOKUP(H9,Q39:R42,2,)</f>
        <v>1.0589</v>
      </c>
      <c r="J39" s="167"/>
      <c r="K39" s="144">
        <f ca="1">F39*$I$39</f>
        <v>1977247.5386895107</v>
      </c>
      <c r="L39" s="144"/>
      <c r="M39" s="144">
        <f ca="1">K39*1.2</f>
        <v>2372697.0464274129</v>
      </c>
      <c r="N39" s="144"/>
      <c r="O39" s="145"/>
      <c r="P39" s="173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6" t="s">
        <v>2</v>
      </c>
      <c r="C40" s="136"/>
      <c r="D40" s="136"/>
      <c r="E40" s="136"/>
      <c r="F40" s="139">
        <f ca="1">P31</f>
        <v>13049414.991599999</v>
      </c>
      <c r="G40" s="139"/>
      <c r="H40" s="140"/>
      <c r="I40" s="168"/>
      <c r="J40" s="169"/>
      <c r="K40" s="144">
        <f t="shared" ref="K40:K41" ca="1" si="15">F40*$I$39</f>
        <v>13818025.534605239</v>
      </c>
      <c r="L40" s="144"/>
      <c r="M40" s="144">
        <f ca="1">K40*1.2</f>
        <v>16581630.641526286</v>
      </c>
      <c r="N40" s="144"/>
      <c r="O40" s="145"/>
      <c r="P40" s="173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6" t="s">
        <v>3</v>
      </c>
      <c r="C41" s="136"/>
      <c r="D41" s="136"/>
      <c r="E41" s="136"/>
      <c r="F41" s="139">
        <f ca="1">P32</f>
        <v>8450154.9476000015</v>
      </c>
      <c r="G41" s="139"/>
      <c r="H41" s="140"/>
      <c r="I41" s="168"/>
      <c r="J41" s="169"/>
      <c r="K41" s="144">
        <f t="shared" ca="1" si="15"/>
        <v>8947869.0740136411</v>
      </c>
      <c r="L41" s="144"/>
      <c r="M41" s="144">
        <f t="shared" ref="M41" ca="1" si="16">K41*1.2</f>
        <v>10737442.88881637</v>
      </c>
      <c r="N41" s="144"/>
      <c r="O41" s="145"/>
      <c r="P41" s="173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6" t="s">
        <v>7</v>
      </c>
      <c r="C42" s="136"/>
      <c r="D42" s="136"/>
      <c r="E42" s="136"/>
      <c r="F42" s="139"/>
      <c r="G42" s="139"/>
      <c r="H42" s="140"/>
      <c r="I42" s="168"/>
      <c r="J42" s="169"/>
      <c r="K42" s="127">
        <f ca="1">SUM(F43:H47)*$I$39</f>
        <v>4099938.6538089998</v>
      </c>
      <c r="L42" s="128"/>
      <c r="M42" s="127">
        <f ca="1">K42*1.2</f>
        <v>4919926.3845707998</v>
      </c>
      <c r="N42" s="128"/>
      <c r="O42" s="145"/>
      <c r="P42" s="173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6" t="s">
        <v>4</v>
      </c>
      <c r="C43" s="136"/>
      <c r="D43" s="136"/>
      <c r="E43" s="136"/>
      <c r="F43" s="139">
        <f ca="1">SUM(F39:H41)*Q43</f>
        <v>226658.30468305922</v>
      </c>
      <c r="G43" s="139"/>
      <c r="H43" s="140"/>
      <c r="I43" s="168"/>
      <c r="J43" s="169"/>
      <c r="K43" s="129"/>
      <c r="L43" s="130"/>
      <c r="M43" s="129"/>
      <c r="N43" s="130"/>
      <c r="O43" s="145"/>
      <c r="P43" s="173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37" t="s">
        <v>359</v>
      </c>
      <c r="C44" s="137"/>
      <c r="D44" s="137"/>
      <c r="E44" s="137"/>
      <c r="F44" s="139">
        <f ca="1">SUM(F39:H41)*Q44</f>
        <v>500050.28043479042</v>
      </c>
      <c r="G44" s="139"/>
      <c r="H44" s="140"/>
      <c r="I44" s="168"/>
      <c r="J44" s="169"/>
      <c r="K44" s="129"/>
      <c r="L44" s="130"/>
      <c r="M44" s="129"/>
      <c r="N44" s="130"/>
      <c r="O44" s="145"/>
      <c r="P44" s="173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37" t="s">
        <v>360</v>
      </c>
      <c r="C45" s="137"/>
      <c r="D45" s="137"/>
      <c r="E45" s="137"/>
      <c r="F45" s="139">
        <f ca="1">SUM(F39:H41)*Q45</f>
        <v>1972160.9190979586</v>
      </c>
      <c r="G45" s="139"/>
      <c r="H45" s="140"/>
      <c r="I45" s="168"/>
      <c r="J45" s="169"/>
      <c r="K45" s="129"/>
      <c r="L45" s="130"/>
      <c r="M45" s="129"/>
      <c r="N45" s="130"/>
      <c r="O45" s="145"/>
      <c r="P45" s="173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38" t="s">
        <v>6</v>
      </c>
      <c r="C46" s="138"/>
      <c r="D46" s="138"/>
      <c r="E46" s="138"/>
      <c r="F46" s="139">
        <f ca="1">SUM(F39:H41)*Q46</f>
        <v>665954.81272857601</v>
      </c>
      <c r="G46" s="139"/>
      <c r="H46" s="140"/>
      <c r="I46" s="168"/>
      <c r="J46" s="169"/>
      <c r="K46" s="129"/>
      <c r="L46" s="130"/>
      <c r="M46" s="129"/>
      <c r="N46" s="130"/>
      <c r="O46" s="145"/>
      <c r="P46" s="173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6" t="s">
        <v>5</v>
      </c>
      <c r="C47" s="136"/>
      <c r="D47" s="136"/>
      <c r="E47" s="136"/>
      <c r="F47" s="139">
        <f ca="1">SUM(F39:H41)*Q47</f>
        <v>507060.33109509124</v>
      </c>
      <c r="G47" s="139"/>
      <c r="H47" s="140"/>
      <c r="I47" s="170"/>
      <c r="J47" s="171"/>
      <c r="K47" s="131"/>
      <c r="L47" s="132"/>
      <c r="M47" s="131"/>
      <c r="N47" s="132"/>
      <c r="O47" s="145"/>
      <c r="P47" s="173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33" t="s">
        <v>86</v>
      </c>
      <c r="B48" s="133"/>
      <c r="C48" s="133"/>
      <c r="D48" s="133"/>
      <c r="E48" s="133"/>
      <c r="F48" s="134">
        <f ca="1">SUM(F39:H47)</f>
        <v>27238720.182375479</v>
      </c>
      <c r="G48" s="135"/>
      <c r="H48" s="135"/>
      <c r="I48" s="135"/>
      <c r="J48" s="135"/>
      <c r="K48" s="172">
        <f ca="1">SUM(K39:L47)</f>
        <v>28843080.80111739</v>
      </c>
      <c r="L48" s="172"/>
      <c r="M48" s="172">
        <f ca="1">SUM(M39:N47)</f>
        <v>34611696.961340867</v>
      </c>
      <c r="N48" s="172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26" t="s">
        <v>354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26" t="s">
        <v>365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25" t="s">
        <v>355</v>
      </c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25" t="s">
        <v>356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  <row r="59" spans="1:21" hidden="1" x14ac:dyDescent="0.25">
      <c r="L59" s="2">
        <v>4099938.6538089998</v>
      </c>
    </row>
  </sheetData>
  <dataConsolidate>
    <dataRefs count="1">
      <dataRef ref="B8:B287" sheet="Наименование работ"/>
    </dataRefs>
  </dataConsolidate>
  <mergeCells count="61">
    <mergeCell ref="M48:N48"/>
    <mergeCell ref="P39:P47"/>
    <mergeCell ref="K48:L48"/>
    <mergeCell ref="M39:N39"/>
    <mergeCell ref="M40:N40"/>
    <mergeCell ref="M41:N41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176" activePane="bottomLeft" state="frozen"/>
      <selection pane="bottomLeft" activeCell="B191" sqref="B191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25.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27.7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21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2023-02-13T06:56:39Z</dcterms:modified>
</cp:coreProperties>
</file>