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обмен\Для Салтыкова Михаила\РК ТП-10 Высоцк+\"/>
    </mc:Choice>
  </mc:AlternateContent>
  <xr:revisionPtr revIDLastSave="0" documentId="13_ncr:1_{C3F8820F-0EAE-43A9-B719-25562E063724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P44" i="4" l="1"/>
  <c r="P45" i="4" s="1"/>
  <c r="P46" i="4" s="1"/>
  <c r="P43" i="4"/>
  <c r="I39" i="4" l="1"/>
  <c r="M19" i="4" l="1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C160" i="5" s="1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C83" i="5"/>
  <c r="L83" i="5" s="1"/>
  <c r="I83" i="5" s="1"/>
  <c r="J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3" i="5"/>
  <c r="L3" i="5" s="1"/>
  <c r="C82" i="5" l="1"/>
  <c r="L82" i="5" s="1"/>
  <c r="C116" i="5"/>
  <c r="L116" i="5" s="1"/>
  <c r="I116" i="5" s="1"/>
  <c r="J116" i="5" s="1"/>
  <c r="P160" i="5"/>
  <c r="I160" i="5" s="1"/>
  <c r="J160" i="5" s="1"/>
  <c r="P4" i="5"/>
  <c r="I54" i="5"/>
  <c r="J54" i="5" s="1"/>
  <c r="C107" i="5"/>
  <c r="L107" i="5" s="1"/>
  <c r="C122" i="5"/>
  <c r="L122" i="5" s="1"/>
  <c r="C163" i="5"/>
  <c r="L163" i="5" s="1"/>
  <c r="I163" i="5" s="1"/>
  <c r="J163" i="5" s="1"/>
  <c r="C183" i="5"/>
  <c r="L183" i="5" s="1"/>
  <c r="I183" i="5" s="1"/>
  <c r="J183" i="5" s="1"/>
  <c r="I292" i="5"/>
  <c r="C81" i="5"/>
  <c r="L81" i="5" s="1"/>
  <c r="C86" i="5"/>
  <c r="L86" i="5" s="1"/>
  <c r="C104" i="5"/>
  <c r="L104" i="5" s="1"/>
  <c r="C113" i="5"/>
  <c r="L113" i="5" s="1"/>
  <c r="I113" i="5" s="1"/>
  <c r="J113" i="5" s="1"/>
  <c r="C152" i="5"/>
  <c r="L152" i="5" s="1"/>
  <c r="P158" i="5"/>
  <c r="C111" i="5"/>
  <c r="L111" i="5" s="1"/>
  <c r="P79" i="5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C178" i="5"/>
  <c r="L178" i="5" s="1"/>
  <c r="I24" i="5"/>
  <c r="J24" i="5" s="1"/>
  <c r="C76" i="5"/>
  <c r="L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P156" i="5"/>
  <c r="C182" i="5"/>
  <c r="L182" i="5" s="1"/>
  <c r="C124" i="5"/>
  <c r="L124" i="5" s="1"/>
  <c r="I124" i="5" s="1"/>
  <c r="J124" i="5" s="1"/>
  <c r="P146" i="5"/>
  <c r="P149" i="5"/>
  <c r="C153" i="5"/>
  <c r="L153" i="5" s="1"/>
  <c r="I153" i="5" s="1"/>
  <c r="J153" i="5" s="1"/>
  <c r="C157" i="5"/>
  <c r="L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P10" i="5"/>
  <c r="I10" i="5" s="1"/>
  <c r="J10" i="5" s="1"/>
  <c r="P127" i="5"/>
  <c r="I127" i="5" s="1"/>
  <c r="J127" i="5" s="1"/>
  <c r="P140" i="5"/>
  <c r="C84" i="5"/>
  <c r="L84" i="5" s="1"/>
  <c r="C87" i="5"/>
  <c r="L87" i="5" s="1"/>
  <c r="P97" i="5"/>
  <c r="I97" i="5" s="1"/>
  <c r="J97" i="5" s="1"/>
  <c r="P144" i="5"/>
  <c r="P147" i="5"/>
  <c r="I147" i="5" s="1"/>
  <c r="J147" i="5" s="1"/>
  <c r="P150" i="5"/>
  <c r="C154" i="5"/>
  <c r="L154" i="5" s="1"/>
  <c r="C180" i="5"/>
  <c r="L180" i="5" s="1"/>
  <c r="P188" i="5"/>
  <c r="P192" i="5"/>
  <c r="P195" i="5"/>
  <c r="I195" i="5" s="1"/>
  <c r="J195" i="5" s="1"/>
  <c r="P94" i="5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57" i="5"/>
  <c r="J157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192" i="5"/>
  <c r="J192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23" i="5"/>
  <c r="J123" i="5" s="1"/>
  <c r="I172" i="5"/>
  <c r="J172" i="5" s="1"/>
  <c r="I182" i="5"/>
  <c r="J18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6" i="5"/>
  <c r="J166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9" i="5"/>
  <c r="J119" i="5" s="1"/>
  <c r="I138" i="5"/>
  <c r="J138" i="5" s="1"/>
  <c r="I139" i="5"/>
  <c r="J139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9" i="5"/>
  <c r="J79" i="5" s="1"/>
  <c r="I86" i="5"/>
  <c r="J86" i="5" s="1"/>
  <c r="I87" i="5"/>
  <c r="J87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8" i="5"/>
  <c r="J148" i="5" s="1"/>
  <c r="I149" i="5"/>
  <c r="J149" i="5" s="1"/>
  <c r="I150" i="5"/>
  <c r="J150" i="5" s="1"/>
  <c r="I151" i="5"/>
  <c r="J151" i="5" s="1"/>
  <c r="I159" i="5"/>
  <c r="J159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4" i="4" l="1"/>
  <c r="F43" i="4"/>
  <c r="F45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<sst xmlns="http://schemas.openxmlformats.org/spreadsheetml/2006/main" count="404" uniqueCount="364">
  <si>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</si>
  <si>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</si>
  <si>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</si>
  <si>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</si>
  <si>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</si>
  <si>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</si>
  <si>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</si>
  <si>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</si>
  <si>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</si>
  <si>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</si>
  <si>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</si>
  <si>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</si>
  <si>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</si>
  <si>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</si>
  <si>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</si>
  <si>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</si>
  <si>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</si>
  <si>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</si>
  <si>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</si>
  <si>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</si>
  <si>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</si>
  <si>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</si>
  <si>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</si>
  <si>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</si>
  <si>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</si>
  <si>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</si>
  <si>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</si>
  <si>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</si>
  <si>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</si>
  <si>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</si>
  <si>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</si>
  <si>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</si>
  <si>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</si>
  <si>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</si>
  <si>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</si>
  <si>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</si>
  <si>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</si>
  <si>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</si>
  <si>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</si>
  <si>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</si>
  <si>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</si>
  <si>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</si>
  <si>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</si>
  <si>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</si>
  <si>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</si>
  <si>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</si>
  <si>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</si>
  <si>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</si>
  <si>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</si>
  <si>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</si>
  <si>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</si>
  <si>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</si>
  <si>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</si>
  <si>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</si>
  <si>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</si>
  <si>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</si>
  <si>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</si>
  <si>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</si>
  <si>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</si>
  <si>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</si>
  <si>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</si>
  <si>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</si>
  <si>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</si>
  <si>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</si>
  <si>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</si>
  <si>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</si>
  <si>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</si>
  <si>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</si>
  <si>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</si>
  <si>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</si>
  <si>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</si>
  <si>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</si>
  <si>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</si>
  <si>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</si>
  <si>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</si>
  <si>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</si>
  <si>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</si>
  <si>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</si>
  <si>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</si>
  <si>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</si>
  <si>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</si>
  <si>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</si>
  <si>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</si>
  <si>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</si>
  <si>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</si>
  <si>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</si>
  <si>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</si>
  <si>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</si>
  <si>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</si>
  <si>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</si>
  <si>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</si>
  <si>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</si>
  <si>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</si>
  <si>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</si>
  <si>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</si>
  <si>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</si>
  <si>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</si>
  <si>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</si>
  <si>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</si>
  <si>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</si>
  <si>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</si>
  <si>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</si>
  <si>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</si>
  <si>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</si>
  <si>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</si>
  <si>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</si>
  <si>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</si>
  <si>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</si>
  <si>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</si>
  <si>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</si>
  <si>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</si>
  <si>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</si>
  <si>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</si>
  <si>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</si>
  <si>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</si>
  <si>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</si>
  <si>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</si>
  <si>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</si>
  <si>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</si>
  <si>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</si>
  <si>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</si>
  <si>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</si>
  <si>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</si>
  <si>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</si>
  <si>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</si>
  <si>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</si>
  <si>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</si>
  <si>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</si>
  <si>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</si>
  <si>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</si>
  <si>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</si>
  <si>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</si>
  <si>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</si>
  <si>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</si>
  <si>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</si>
  <si>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</si>
  <si>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</si>
  <si>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</si>
  <si>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</si>
  <si>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</si>
  <si>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</si>
  <si>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</si>
  <si>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</si>
  <si>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</si>
  <si>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</si>
  <si>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</si>
  <si>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</si>
  <si>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</si>
  <si>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</si>
  <si>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</si>
  <si>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</si>
  <si>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</si>
  <si>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</si>
  <si>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</si>
  <si>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</si>
  <si>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</si>
  <si>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</si>
  <si>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</si>
  <si>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</si>
  <si>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</si>
  <si>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</si>
  <si>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</si>
  <si>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</si>
  <si>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</si>
  <si>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</si>
  <si>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</si>
  <si>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</si>
  <si>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</si>
  <si>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</si>
  <si>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</si>
  <si>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</si>
  <si>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</si>
  <si>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</si>
  <si>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</si>
  <si>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</si>
  <si>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</si>
  <si>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</si>
  <si>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</si>
  <si>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</si>
  <si>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</si>
  <si>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</si>
  <si>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</si>
  <si>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</si>
  <si>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</si>
  <si>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</si>
  <si>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</si>
  <si>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</si>
  <si>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</si>
  <si>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</si>
  <si>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</si>
  <si>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</si>
  <si>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</si>
  <si>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</si>
  <si>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</si>
  <si>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</si>
  <si>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</si>
  <si>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</si>
  <si>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</si>
  <si>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</si>
  <si>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</si>
  <si>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</si>
  <si>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</si>
  <si>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</si>
  <si>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</si>
  <si>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</si>
  <si>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</si>
  <si>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</si>
  <si>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</si>
  <si>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</si>
  <si>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</si>
  <si>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</si>
  <si>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</si>
  <si>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</si>
  <si>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</si>
  <si>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</si>
  <si>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</si>
  <si>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</si>
  <si>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</si>
  <si>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</si>
  <si>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</si>
  <si>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</si>
  <si>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</si>
  <si>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</si>
  <si>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</si>
  <si>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</si>
  <si>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</si>
  <si>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</si>
  <si>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</si>
  <si>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</si>
  <si>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</si>
  <si>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</si>
  <si>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</si>
  <si>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</si>
  <si>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</si>
  <si>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</si>
  <si>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</si>
  <si>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</si>
  <si>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</si>
  <si>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</si>
  <si>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</si>
  <si>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</si>
  <si>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</si>
  <si>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</si>
  <si>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</si>
  <si>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</si>
  <si>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</si>
  <si>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</si>
  <si>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</si>
  <si>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</si>
  <si>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</si>
  <si>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</si>
  <si>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</si>
  <si>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</si>
  <si>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</si>
  <si>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</si>
  <si>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</si>
  <si>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</si>
  <si>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</si>
  <si>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</si>
  <si>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</si>
  <si>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</si>
  <si>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</si>
  <si>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</si>
  <si>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</si>
  <si>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</si>
  <si>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</si>
  <si>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</si>
  <si>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</si>
  <si>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</si>
  <si>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</si>
  <si>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</si>
  <si>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</si>
  <si>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</si>
  <si>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</si>
  <si>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</si>
  <si>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</si>
  <si>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</si>
  <si>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</si>
  <si>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</si>
  <si>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</si>
  <si>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</si>
  <si>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</si>
  <si>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</si>
  <si>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</si>
  <si>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</si>
  <si>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</si>
  <si>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</si>
  <si>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</si>
  <si>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</si>
  <si>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</si>
  <si>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</si>
  <si>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</si>
  <si>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</si>
  <si>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</si>
  <si>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</si>
  <si>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</si>
  <si>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</si>
  <si>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</si>
  <si>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</si>
  <si>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</si>
  <si>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</si>
  <si>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</si>
  <si>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</si>
  <si>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</si>
  <si>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</si>
  <si>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</si>
  <si>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</si>
  <si>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</si>
  <si>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</si>
  <si>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</si>
  <si>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</si>
  <si>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</si>
  <si>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</si>
  <si>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</si>
  <si>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</si>
  <si>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</si>
  <si>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</si>
  <si>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</si>
  <si>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</si>
  <si>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</si>
  <si>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</si>
  <si>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</si>
  <si>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</si>
  <si>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</si>
  <si>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</si>
  <si>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</si>
  <si>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</si>
  <si>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</si>
  <si>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</si>
  <si>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</si>
  <si>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</si>
  <si>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</si>
  <si>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</si>
  <si>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</si>
  <si>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</si>
  <si>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</si>
  <si>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</si>
  <si>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</si>
  <si>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</si>
  <si>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</si>
  <si>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</si>
  <si>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</si>
  <si>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</si>
  <si>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</si>
  <si>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</si>
  <si>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</si>
  <si>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</si>
  <si>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</si>
  <si>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</si>
  <si>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</si>
  <si>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</si>
  <si>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</si>
  <si>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</si>
  <si>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</si>
  <si>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</si>
  <si>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</si>
  <si>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</si>
  <si>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</si>
  <si>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</si>
  <si>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</si>
  <si>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1</t>
  </si>
  <si>
    <t>2</t>
  </si>
  <si>
    <t>3</t>
  </si>
  <si>
    <t xml:space="preserve">Реконструкция оборудования ТП-10 в части замены ячеек 10-0,4 кВ в количестве 9 шт. г.Высоцк Выборгского р-на 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</si>
</sst>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10" zoomScaleNormal="85" zoomScaleSheetLayoutView="100" workbookViewId="0">
      <selection activeCell="M10" sqref="M10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90" t="s">
        <v>363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22" ht="10.5" customHeight="1" x14ac:dyDescent="0.25"/>
    <row r="7" spans="1:22" ht="13.5" customHeight="1" x14ac:dyDescent="0.25">
      <c r="A7" s="6" t="s">
        <v>5</v>
      </c>
      <c r="H7" s="192"/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359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360</v>
      </c>
      <c r="B16" s="40" t="s">
        <v>148</v>
      </c>
      <c r="C16" s="37">
        <f>VLOOKUP($B$16:$B$29,'Наименование работ'!B:G,6,)</f>
        <v>42343.8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146013.2410999999</v>
      </c>
      <c r="I16" s="36">
        <f>VLOOKUP($B$16:$B$29,'Наименование работ'!B:R,17,)</f>
        <v>217050.82590000003</v>
      </c>
      <c r="J16" s="38" t="s">
        <v>352</v>
      </c>
      <c r="K16" s="157">
        <v>4</v>
      </c>
      <c r="L16" s="33">
        <f>(N16+O16)*0.04</f>
        <v>58090.250719999989</v>
      </c>
      <c r="M16" s="33">
        <v>0</v>
      </c>
      <c r="N16" s="34">
        <f>K16*H16</f>
        <v>584052.96439999959</v>
      </c>
      <c r="O16" s="34">
        <f>K16*I16</f>
        <v>868203.3036000001</v>
      </c>
      <c r="P16" s="34">
        <f t="shared" ref="P16" si="0">SUM(L16:O16)</f>
        <v>1510346.5187199996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361</v>
      </c>
      <c r="B17" s="40" t="s">
        <v>151</v>
      </c>
      <c r="C17" s="37">
        <f>VLOOKUP($B$16:$B$29,'Наименование работ'!B:G,6,)</f>
        <v>56856.62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213438.64270000008</v>
      </c>
      <c r="I17" s="36">
        <f>VLOOKUP($B$16:$B$29,'Наименование работ'!B:R,17,)</f>
        <v>286894.27350000001</v>
      </c>
      <c r="J17" s="38" t="s">
        <v>352</v>
      </c>
      <c r="K17" s="157">
        <v>1</v>
      </c>
      <c r="L17" s="33">
        <f>(N17+O17)*0.04</f>
        <v>20013.316648000004</v>
      </c>
      <c r="M17" s="33">
        <v>0</v>
      </c>
      <c r="N17" s="34">
        <f t="shared" ref="N17:N29" si="1">K17*H17</f>
        <v>213438.64270000008</v>
      </c>
      <c r="O17" s="34">
        <f t="shared" ref="O17:O29" si="2">K17*I17</f>
        <v>286894.27350000001</v>
      </c>
      <c r="P17" s="34">
        <f t="shared" ref="P17" si="3">SUM(L17:O17)</f>
        <v>520346.23284800013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362</v>
      </c>
      <c r="B18" s="40" t="s">
        <v>150</v>
      </c>
      <c r="C18" s="37">
        <f>VLOOKUP($B$16:$B$29,'Наименование работ'!B:G,6,)</f>
        <v>54486.09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168532.58620000002</v>
      </c>
      <c r="I18" s="36">
        <f>VLOOKUP($B$16:$B$29,'Наименование работ'!B:R,17,)</f>
        <v>286894.27350000001</v>
      </c>
      <c r="J18" s="38" t="s">
        <v>352</v>
      </c>
      <c r="K18" s="157">
        <v>4</v>
      </c>
      <c r="L18" s="33">
        <f t="shared" ref="L18:L29" si="4">(N18+O18)*0.08</f>
        <v>145736.59510400001</v>
      </c>
      <c r="M18" s="33">
        <f>147300</f>
        <v>147300</v>
      </c>
      <c r="N18" s="34">
        <f t="shared" si="1"/>
        <v>674130.34480000008</v>
      </c>
      <c r="O18" s="34">
        <f t="shared" si="2"/>
        <v>1147577.094</v>
      </c>
      <c r="P18" s="34">
        <f t="shared" ref="P18" si="5">SUM(L18:O18)</f>
        <v>2114744.0339040002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7">
        <v>0</v>
      </c>
      <c r="L19" s="33">
        <f>(N19+O19)*0.04</f>
        <v>0</v>
      </c>
      <c r="M19" s="33">
        <f t="shared" ref="M19:M29" si="6">147300*K19</f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7">
        <v>0</v>
      </c>
      <c r="L20" s="33">
        <f>(N20+O20)*0.04</f>
        <v>0</v>
      </c>
      <c r="M20" s="33">
        <f t="shared" si="6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7">
        <v>0</v>
      </c>
      <c r="L21" s="33">
        <f>(N21+O21)*0.04</f>
        <v>0</v>
      </c>
      <c r="M21" s="33">
        <f t="shared" si="6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7">
        <v>0</v>
      </c>
      <c r="L22" s="33">
        <f t="shared" si="4"/>
        <v>0</v>
      </c>
      <c r="M22" s="33">
        <f t="shared" si="6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6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6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6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6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6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6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6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147300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1471621.9518999998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2302674.6710999999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223840.162472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4145436.7854719996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371140.162472</v>
      </c>
      <c r="G39" s="176"/>
      <c r="H39" s="177"/>
      <c r="I39" s="182">
        <f>VLOOKUP(H9,O39:P43,2,)</f>
        <v>1.0956003766002589</v>
      </c>
      <c r="J39" s="183"/>
      <c r="K39" s="171">
        <f>F39*$I$39</f>
        <v>406621.30177580449</v>
      </c>
      <c r="L39" s="171"/>
      <c r="M39" s="171">
        <f>K39*1.2</f>
        <v>487945.56213096535</v>
      </c>
      <c r="N39" s="171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1471621.9518999998</v>
      </c>
      <c r="G40" s="178"/>
      <c r="H40" s="179"/>
      <c r="I40" s="184"/>
      <c r="J40" s="185"/>
      <c r="K40" s="171">
        <f t="shared" ref="K40:K41" si="11">F40*$I$39</f>
        <v>1612309.5647148478</v>
      </c>
      <c r="L40" s="171"/>
      <c r="M40" s="171">
        <f>K40*1.2</f>
        <v>1934771.4776578173</v>
      </c>
      <c r="N40" s="171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2302674.6710999999</v>
      </c>
      <c r="G41" s="178"/>
      <c r="H41" s="179"/>
      <c r="I41" s="184"/>
      <c r="J41" s="185"/>
      <c r="K41" s="171">
        <f t="shared" si="11"/>
        <v>2522811.236845037</v>
      </c>
      <c r="L41" s="171"/>
      <c r="M41" s="171">
        <f t="shared" ref="M41" si="12">K41*1.2</f>
        <v>3027373.4842140442</v>
      </c>
      <c r="N41" s="171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7">
        <f>SUM(F43:H45)*$I$39</f>
        <v>932873.82802515046</v>
      </c>
      <c r="L42" s="198"/>
      <c r="M42" s="197">
        <f>K42*1.2</f>
        <v>1119448.5936301805</v>
      </c>
      <c r="N42" s="198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3" t="s">
        <v>356</v>
      </c>
      <c r="C43" s="203"/>
      <c r="D43" s="203"/>
      <c r="E43" s="203"/>
      <c r="F43" s="201">
        <f>SUM(F39:H41)/100*P49</f>
        <v>88712.347209100801</v>
      </c>
      <c r="G43" s="201"/>
      <c r="H43" s="202"/>
      <c r="I43" s="184"/>
      <c r="J43" s="185"/>
      <c r="K43" s="199"/>
      <c r="L43" s="200"/>
      <c r="M43" s="199"/>
      <c r="N43" s="200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203" t="s">
        <v>358</v>
      </c>
      <c r="C44" s="203"/>
      <c r="D44" s="203"/>
      <c r="E44" s="203"/>
      <c r="F44" s="201">
        <f>SUM(F39:H41)/100*P50</f>
        <v>485016.10390022391</v>
      </c>
      <c r="G44" s="201"/>
      <c r="H44" s="202"/>
      <c r="I44" s="184"/>
      <c r="J44" s="185"/>
      <c r="K44" s="199"/>
      <c r="L44" s="200"/>
      <c r="M44" s="199"/>
      <c r="N44" s="200"/>
      <c r="O44" s="154"/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204" t="s">
        <v>357</v>
      </c>
      <c r="C45" s="204"/>
      <c r="D45" s="204"/>
      <c r="E45" s="204"/>
      <c r="F45" s="201">
        <f>SUM(F39:H41)/100*P51</f>
        <v>277744.264626624</v>
      </c>
      <c r="G45" s="201"/>
      <c r="H45" s="202"/>
      <c r="I45" s="184"/>
      <c r="J45" s="185"/>
      <c r="K45" s="199"/>
      <c r="L45" s="200"/>
      <c r="M45" s="199"/>
      <c r="N45" s="200"/>
      <c r="O45" s="154"/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205" t="s">
        <v>81</v>
      </c>
      <c r="B46" s="205"/>
      <c r="C46" s="205"/>
      <c r="D46" s="205"/>
      <c r="E46" s="205"/>
      <c r="F46" s="196">
        <f>SUM(F39:H45)</f>
        <v>4996909.5012079487</v>
      </c>
      <c r="G46" s="196"/>
      <c r="H46" s="196"/>
      <c r="I46" s="196"/>
      <c r="J46" s="196"/>
      <c r="K46" s="195">
        <f>SUM(K39:L45)</f>
        <v>5474615.9313608399</v>
      </c>
      <c r="L46" s="195"/>
      <c r="M46" s="195">
        <f>SUM(M39:N45)</f>
        <v>6569539.1176330075</v>
      </c>
      <c r="N46" s="195"/>
      <c r="O46" s="162"/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4" t="s">
        <v>342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47"/>
      <c r="P49" s="164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4" t="s">
        <v>345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52"/>
      <c r="P50" s="165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3" t="s">
        <v>343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52"/>
      <c r="P51" s="165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3" t="s">
        <v>344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5" sqref="B65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еконструкция  КРУН-10 кВ  КСО210 сх.11 - ОЛВыключатель вакуумный BB-TEL-10-20/1000 - 1 шт. -)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 км ВЛ-0,4 кВ (СИП-2 3*95+1*95+1*25)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(подвеска провода ) СИП 3 1*120"/>
        <filter val="Реконструкция 1 км ВЛ-10 (подвеска провода ) СИП 3 1*70"/>
        <filter val="Реконструкция 1 км ВЛ-10 (подвеска провода ) СИП 3 1*95"/>
        <filter val="Реконструкция 1 км ВЛ-10 (с полным демонтажем) сип 3 1*120"/>
        <filter val="Реконструкция 1 км ВЛ-10 (с полным демонтажем) сип 3 1*70"/>
        <filter val="Реконструкция 1 км ВЛ-10 (с полным демонтажем) сип 3 1*95"/>
        <filter val="Реконструкция 1 км ВЛ-10 кВ (замена 1 опоры и 1 пролета 50 м.п. СИП-3 1*95)"/>
        <filter val="Реконструкция 1 км ВЛ-10 кВ(СИП-3 1*50) с установкой дерев.опор"/>
        <filter val="Реконструкция 1 км совместной подвески ВЛ-10 кВ и ВЛИ-0,4 кВ (СИП-3 1*95, СИП-2 3*95+1*95+1*16) с освещением и полной заменой опор"/>
        <filter val="Реконструкция 100м. ВЛ-0,4 кВ (СИП-2 3*120+1*95)"/>
        <filter val="Реконструкция 100м. ВЛ-0,4 кВ (СИП-2 3*50+1*50+1*16)"/>
        <filter val="Реконструкция 100м. ВЛ-0,4 кВ (СИП-2 3*70+1*70+1*16)"/>
        <filter val="Реконструкция 100м. ВЛ-0,4 кВ (СИП-2 3*95+1*95+1*16)"/>
        <filter val="Реконструкция 100м. ВЛ-0,4 кВ (СИП-2 3*95+1*95+1*25)"/>
        <filter val="Реконструкция 100м. ВЛ-10  сип 3 1*120"/>
        <filter val="Реконструкция 100м. ВЛ-10 (замена провода ) СИП-3 1*95"/>
        <filter val="Реконструкция 100м. ВЛ-10 кВ(СИП-3 1*50) с установкой дерев.опор"/>
        <filter val="Реконструкция 100м. ВЛ-10 сип 3 1*95"/>
        <filter val="Реконструкция 100м. совместной подвески ВЛ-10 кВ и ВЛИ-0,4 кВ (СИП-3 1*95, СИП-2 3*95+1*95+1*16) с освещением и полной заменой опор"/>
        <filter val="Реконструкция ВЛ-0,4 кВ  (СИП-2 3*95+1*95+1*25 ММ2 с  дерев.опор на км)"/>
        <filter val="Реконструкция КЛ-0,4  (АПВБбШп 4х120-1кВ)"/>
        <filter val="Реконструкция КЛ-0,4  (АПВБбШп 4х150-1кВ)"/>
        <filter val="Реконструкция КЛ-0,4  (АПВБбШп 4х185-1кВ)"/>
        <filter val="Реконструкция КЛ-0,4  (АПВБбШп 4х240-1кВ)"/>
        <filter val="Реконструкция КЛ-0,4  (АПВБбШп 4х50-1кВ)"/>
        <filter val="Реконструкция КЛ-0,4  (АПВБбШп 4х70-1кВ)"/>
        <filter val="Реконструкция КЛ-0,4 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Реконструкция ТП  Замена  ячейки 10 кВ с вакуумным выключателем"/>
        <filter val="Реконструкция ТП  Монтаж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 установка новой  ЩО-70"/>
        <filter val="Реконструкция ТП. Замена  автомата АВ 200 А."/>
        <filter val="Реконструкция ТП. Замена  ячейки 10 кВ с выкл. нагрузки"/>
        <filter val="Реконструкция ТП. Монтаж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Загребельная Екатерина Александровна</cp:lastModifiedBy>
  <cp:lastPrinted>2022-10-17T11:16:39Z</cp:lastPrinted>
  <dcterms:created xsi:type="dcterms:W3CDTF">2021-07-06T05:30:42Z</dcterms:created>
  <dcterms:modified xsi:type="dcterms:W3CDTF">2023-12-21T10:45:49Z</dcterms:modified>
</cp:coreProperties>
</file>