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Алферова_ИС\O_26-1-05-0-01-04-0-0047\"/>
    </mc:Choice>
  </mc:AlternateContent>
  <xr:revisionPtr revIDLastSave="0" documentId="13_ncr:1_{5E09AB4B-DDBC-48B6-9E26-B270AF434F70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4" l="1"/>
  <c r="M18" i="4" l="1"/>
  <c r="P43" i="4" l="1"/>
  <c r="P44" i="4" s="1"/>
  <c r="P45" i="4" s="1"/>
  <c r="P46" i="4" s="1"/>
  <c r="I39" i="4" l="1"/>
  <c r="M17" i="4" l="1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L210" i="5"/>
  <c r="H210" i="5"/>
  <c r="C210" i="5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N159" i="5"/>
  <c r="H159" i="5"/>
  <c r="E159" i="5"/>
  <c r="C159" i="5" s="1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C122" i="5"/>
  <c r="L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C88" i="5"/>
  <c r="L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C82" i="5"/>
  <c r="L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I54" i="5" s="1"/>
  <c r="J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P4" i="5" s="1"/>
  <c r="C4" i="5"/>
  <c r="L4" i="5" s="1"/>
  <c r="R3" i="5"/>
  <c r="N3" i="5"/>
  <c r="H3" i="5"/>
  <c r="E3" i="5"/>
  <c r="P3" i="5" s="1"/>
  <c r="I83" i="5" l="1"/>
  <c r="J83" i="5" s="1"/>
  <c r="I292" i="5"/>
  <c r="S292" i="5" s="1"/>
  <c r="C107" i="5"/>
  <c r="L107" i="5" s="1"/>
  <c r="C163" i="5"/>
  <c r="L163" i="5" s="1"/>
  <c r="I163" i="5" s="1"/>
  <c r="J163" i="5" s="1"/>
  <c r="C183" i="5"/>
  <c r="L183" i="5" s="1"/>
  <c r="I183" i="5" s="1"/>
  <c r="J183" i="5" s="1"/>
  <c r="C115" i="5"/>
  <c r="L115" i="5" s="1"/>
  <c r="I115" i="5" s="1"/>
  <c r="J115" i="5" s="1"/>
  <c r="P118" i="5"/>
  <c r="P145" i="5"/>
  <c r="I145" i="5" s="1"/>
  <c r="J145" i="5" s="1"/>
  <c r="P159" i="5"/>
  <c r="P186" i="5"/>
  <c r="I186" i="5" s="1"/>
  <c r="J186" i="5" s="1"/>
  <c r="C191" i="5"/>
  <c r="L191" i="5" s="1"/>
  <c r="I191" i="5" s="1"/>
  <c r="J191" i="5" s="1"/>
  <c r="C81" i="5"/>
  <c r="L81" i="5" s="1"/>
  <c r="I81" i="5" s="1"/>
  <c r="J81" i="5" s="1"/>
  <c r="C86" i="5"/>
  <c r="L86" i="5" s="1"/>
  <c r="I86" i="5" s="1"/>
  <c r="J86" i="5" s="1"/>
  <c r="C104" i="5"/>
  <c r="L104" i="5" s="1"/>
  <c r="I104" i="5" s="1"/>
  <c r="J104" i="5" s="1"/>
  <c r="P120" i="5"/>
  <c r="P158" i="5"/>
  <c r="I158" i="5" s="1"/>
  <c r="J158" i="5" s="1"/>
  <c r="C3" i="5"/>
  <c r="L3" i="5" s="1"/>
  <c r="I3" i="5" s="1"/>
  <c r="J3" i="5" s="1"/>
  <c r="C8" i="5"/>
  <c r="L8" i="5" s="1"/>
  <c r="I8" i="5" s="1"/>
  <c r="J8" i="5" s="1"/>
  <c r="C110" i="5"/>
  <c r="L110" i="5" s="1"/>
  <c r="C174" i="5"/>
  <c r="L174" i="5" s="1"/>
  <c r="I174" i="5" s="1"/>
  <c r="J174" i="5" s="1"/>
  <c r="P177" i="5"/>
  <c r="C80" i="5"/>
  <c r="L80" i="5" s="1"/>
  <c r="I80" i="5" s="1"/>
  <c r="J80" i="5" s="1"/>
  <c r="C85" i="5"/>
  <c r="L85" i="5" s="1"/>
  <c r="I85" i="5" s="1"/>
  <c r="J85" i="5" s="1"/>
  <c r="C112" i="5"/>
  <c r="L112" i="5" s="1"/>
  <c r="I112" i="5" s="1"/>
  <c r="J112" i="5" s="1"/>
  <c r="C111" i="5"/>
  <c r="L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I105" i="5" s="1"/>
  <c r="J105" i="5" s="1"/>
  <c r="C123" i="5"/>
  <c r="L123" i="5" s="1"/>
  <c r="I123" i="5" s="1"/>
  <c r="J123" i="5" s="1"/>
  <c r="P125" i="5"/>
  <c r="I125" i="5" s="1"/>
  <c r="J125" i="5" s="1"/>
  <c r="P151" i="5"/>
  <c r="C161" i="5"/>
  <c r="L161" i="5" s="1"/>
  <c r="I161" i="5" s="1"/>
  <c r="J161" i="5" s="1"/>
  <c r="C175" i="5"/>
  <c r="L175" i="5" s="1"/>
  <c r="C184" i="5"/>
  <c r="L184" i="5" s="1"/>
  <c r="P9" i="5"/>
  <c r="C99" i="5"/>
  <c r="L99" i="5" s="1"/>
  <c r="C121" i="5"/>
  <c r="L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C106" i="5"/>
  <c r="L106" i="5" s="1"/>
  <c r="P108" i="5"/>
  <c r="I108" i="5" s="1"/>
  <c r="J108" i="5" s="1"/>
  <c r="C119" i="5"/>
  <c r="L119" i="5" s="1"/>
  <c r="P139" i="5"/>
  <c r="P156" i="5"/>
  <c r="I156" i="5" s="1"/>
  <c r="J156" i="5" s="1"/>
  <c r="C182" i="5"/>
  <c r="L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P10" i="5"/>
  <c r="I10" i="5" s="1"/>
  <c r="J10" i="5" s="1"/>
  <c r="P127" i="5"/>
  <c r="P140" i="5"/>
  <c r="I140" i="5" s="1"/>
  <c r="J140" i="5" s="1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121" i="5"/>
  <c r="J121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216" i="5"/>
  <c r="J216" i="5" s="1"/>
  <c r="I11" i="5"/>
  <c r="J11" i="5" s="1"/>
  <c r="I25" i="5"/>
  <c r="J25" i="5" s="1"/>
  <c r="I44" i="5"/>
  <c r="J44" i="5" s="1"/>
  <c r="I284" i="5"/>
  <c r="J28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175" i="5"/>
  <c r="J175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2" i="5"/>
  <c r="J18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7" i="5"/>
  <c r="J107" i="5" s="1"/>
  <c r="I160" i="5"/>
  <c r="J160" i="5" s="1"/>
  <c r="I166" i="5"/>
  <c r="J16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39" i="5"/>
  <c r="J139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99" i="5"/>
  <c r="J99" i="5" s="1"/>
  <c r="I120" i="5"/>
  <c r="J120" i="5" s="1"/>
  <c r="I148" i="5"/>
  <c r="J148" i="5" s="1"/>
  <c r="I151" i="5"/>
  <c r="J151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89" i="5"/>
  <c r="J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106" i="5"/>
  <c r="J106" i="5" s="1"/>
  <c r="I110" i="5"/>
  <c r="J110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17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4" i="4" l="1"/>
  <c r="F43" i="4"/>
  <c r="F45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<sst xmlns="http://schemas.openxmlformats.org/spreadsheetml/2006/main" count="410" uniqueCount="372">
  <si>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</si>
  <si>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</si>
  <si>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</si>
  <si>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</si>
  <si>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</si>
  <si>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</si>
  <si>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</si>
  <si>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</si>
  <si>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</si>
  <si>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</si>
  <si>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</si>
  <si>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</si>
  <si>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</si>
  <si>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</si>
  <si>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</si>
  <si>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</si>
  <si>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</si>
  <si>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</si>
  <si>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</si>
  <si>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</si>
  <si>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</si>
  <si>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</si>
  <si>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</si>
  <si>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</si>
  <si>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</si>
  <si>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</si>
  <si>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</si>
  <si>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</si>
  <si>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</si>
  <si>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</si>
  <si>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</si>
  <si>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</si>
  <si>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</si>
  <si>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</si>
  <si>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</si>
  <si>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</si>
  <si>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</si>
  <si>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</si>
  <si>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</si>
  <si>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</si>
  <si>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</si>
  <si>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</si>
  <si>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</si>
  <si>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</si>
  <si>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</si>
  <si>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</si>
  <si>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</si>
  <si>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</si>
  <si>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</si>
  <si>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</si>
  <si>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</si>
  <si>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</si>
  <si>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</si>
  <si>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</si>
  <si>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</si>
  <si>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</si>
  <si>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</si>
  <si>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</si>
  <si>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</si>
  <si>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</si>
  <si>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</si>
  <si>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</si>
  <si>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</si>
  <si>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</si>
  <si>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</si>
  <si>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</si>
  <si>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</si>
  <si>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</si>
  <si>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</si>
  <si>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</si>
  <si>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</si>
  <si>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</si>
  <si>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</si>
  <si>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</si>
  <si>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</si>
  <si>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</si>
  <si>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</si>
  <si>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</si>
  <si>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</si>
  <si>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</si>
  <si>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</si>
  <si>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</si>
  <si>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</si>
  <si>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</si>
  <si>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</si>
  <si>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</si>
  <si>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</si>
  <si>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</si>
  <si>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</si>
  <si>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</si>
  <si>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</si>
  <si>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</si>
  <si>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</si>
  <si>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</si>
  <si>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</si>
  <si>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</si>
  <si>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</si>
  <si>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</si>
  <si>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</si>
  <si>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</si>
  <si>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</si>
  <si>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</si>
  <si>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</si>
  <si>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</si>
  <si>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</si>
  <si>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</si>
  <si>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</si>
  <si>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</si>
  <si>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</si>
  <si>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</si>
  <si>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</si>
  <si>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</si>
  <si>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</si>
  <si>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</si>
  <si>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</si>
  <si>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</si>
  <si>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</si>
  <si>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</si>
  <si>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</si>
  <si>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</si>
  <si>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</si>
  <si>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</si>
  <si>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</si>
  <si>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</si>
  <si>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</si>
  <si>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</si>
  <si>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</si>
  <si>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</si>
  <si>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</si>
  <si>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</si>
  <si>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</si>
  <si>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</si>
  <si>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</si>
  <si>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</si>
  <si>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</si>
  <si>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</si>
  <si>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</si>
  <si>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</si>
  <si>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</si>
  <si>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</si>
  <si>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</si>
  <si>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</si>
  <si>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</si>
  <si>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</si>
  <si>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</si>
  <si>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</si>
  <si>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</si>
  <si>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</si>
  <si>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</si>
  <si>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</si>
  <si>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</si>
  <si>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</si>
  <si>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</si>
  <si>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</si>
  <si>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</si>
  <si>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</si>
  <si>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</si>
  <si>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</si>
  <si>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</si>
  <si>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</si>
  <si>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</si>
  <si>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</si>
  <si>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</si>
  <si>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</si>
  <si>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</si>
  <si>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</si>
  <si>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</si>
  <si>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</si>
  <si>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</si>
  <si>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</si>
  <si>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</si>
  <si>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</si>
  <si>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</si>
  <si>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</si>
  <si>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</si>
  <si>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</si>
  <si>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</si>
  <si>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</si>
  <si>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</si>
  <si>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</si>
  <si>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</si>
  <si>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</si>
  <si>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</si>
  <si>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</si>
  <si>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</si>
  <si>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</si>
  <si>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</si>
  <si>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</si>
  <si>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</si>
  <si>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</si>
  <si>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</si>
  <si>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</si>
  <si>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</si>
  <si>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</si>
  <si>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</si>
  <si>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</si>
  <si>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</si>
  <si>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</si>
  <si>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</si>
  <si>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</si>
  <si>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</si>
  <si>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</si>
  <si>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</si>
  <si>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</si>
  <si>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</si>
  <si>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</si>
  <si>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</si>
  <si>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</si>
  <si>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</si>
  <si>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</si>
  <si>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</si>
  <si>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</si>
  <si>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</si>
  <si>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</si>
  <si>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</si>
  <si>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</si>
  <si>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</si>
  <si>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</si>
  <si>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</si>
  <si>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</si>
  <si>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</si>
  <si>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</si>
  <si>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</si>
  <si>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</si>
  <si>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</si>
  <si>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</si>
  <si>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</si>
  <si>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</si>
  <si>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</si>
  <si>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</si>
  <si>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</si>
  <si>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</si>
  <si>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</si>
  <si>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</si>
  <si>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</si>
  <si>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</si>
  <si>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</si>
  <si>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</si>
  <si>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</si>
  <si>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</si>
  <si>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</si>
  <si>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</si>
  <si>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</si>
  <si>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</si>
  <si>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</si>
  <si>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</si>
  <si>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</si>
  <si>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</si>
  <si>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</si>
  <si>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</si>
  <si>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</si>
  <si>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</si>
  <si>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</si>
  <si>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</si>
  <si>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</si>
  <si>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</si>
  <si>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</si>
  <si>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</si>
  <si>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</si>
  <si>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</si>
  <si>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</si>
  <si>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</si>
  <si>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</si>
  <si>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</si>
  <si>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</si>
  <si>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</si>
  <si>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</si>
  <si>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</si>
  <si>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</si>
  <si>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</si>
  <si>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</si>
  <si>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</si>
  <si>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</si>
  <si>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</si>
  <si>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</si>
  <si>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</si>
  <si>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</si>
  <si>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</si>
  <si>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</si>
  <si>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</si>
  <si>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</si>
  <si>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</si>
  <si>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</si>
  <si>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</si>
  <si>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</si>
  <si>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</si>
  <si>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</si>
  <si>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</si>
  <si>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</si>
  <si>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</si>
  <si>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</si>
  <si>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</si>
  <si>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</si>
  <si>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</si>
  <si>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</si>
  <si>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</si>
  <si>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</si>
  <si>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</si>
  <si>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</si>
  <si>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</si>
  <si>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</si>
  <si>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</si>
  <si>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</si>
  <si>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</si>
  <si>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</si>
  <si>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</si>
  <si>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</si>
  <si>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</si>
  <si>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</si>
  <si>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</si>
  <si>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</si>
  <si>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</si>
  <si>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</si>
  <si>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</si>
  <si>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</si>
  <si>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</si>
  <si>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</si>
  <si>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</si>
  <si>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</si>
  <si>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</si>
  <si>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</si>
  <si>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</si>
  <si>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</si>
  <si>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</si>
  <si>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</si>
  <si>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</si>
  <si>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</si>
  <si>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</si>
  <si>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</si>
  <si>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</si>
  <si>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</si>
  <si>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</si>
  <si>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</si>
  <si>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</si>
  <si>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</si>
  <si>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</si>
  <si>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</si>
  <si>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</si>
  <si>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</si>
  <si>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</si>
  <si>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</si>
  <si>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</si>
  <si>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</si>
  <si>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</si>
  <si>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</si>
  <si>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</si>
  <si>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</si>
  <si>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</si>
  <si>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</si>
  <si>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</si>
  <si>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</si>
  <si>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</si>
  <si>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</si>
  <si>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</si>
  <si>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</si>
  <si>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</si>
  <si>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</si>
  <si>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</si>
  <si>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</si>
  <si>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</si>
  <si>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1000м2</t>
  </si>
  <si>
    <t>Реконструкция ячейки 6 кВ (1 шт) ПС 35/6 кВ Пруды с вводом КЛ 6 кВ ориентировочной протяженностью 0,05 км в п. Пруды Выборгского р-на ЛО</t>
  </si>
  <si>
    <t>2027 г.</t>
  </si>
  <si>
    <t>2028 г.</t>
  </si>
  <si>
    <t>2029 г.</t>
  </si>
  <si>
    <t>1</t>
  </si>
  <si>
    <t>2</t>
  </si>
  <si>
    <t>3</t>
  </si>
  <si>
    <t>4</t>
  </si>
  <si>
    <t>Га</t>
  </si>
  <si>
    <t>5</t>
  </si>
  <si>
    <t>O_26-1-05-0-01-04-0-0047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</si>
</sst>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;;;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167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90" t="s">
        <v>361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</row>
    <row r="6" spans="1:22" ht="10.5" customHeight="1" x14ac:dyDescent="0.25"/>
    <row r="7" spans="1:22" ht="13.5" customHeight="1" x14ac:dyDescent="0.25">
      <c r="A7" s="6" t="s">
        <v>5</v>
      </c>
      <c r="H7" s="192" t="s">
        <v>371</v>
      </c>
      <c r="I7" s="192"/>
      <c r="J7" s="192"/>
      <c r="K7" s="192"/>
      <c r="L7" s="192"/>
      <c r="M7" s="192"/>
      <c r="N7" s="192"/>
      <c r="O7" s="192"/>
      <c r="P7" s="192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2" t="s">
        <v>359</v>
      </c>
      <c r="I9" s="192"/>
      <c r="J9" s="192"/>
      <c r="K9" s="192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8" t="s">
        <v>355</v>
      </c>
    </row>
    <row r="13" spans="1:22" s="4" customFormat="1" ht="39" customHeight="1" x14ac:dyDescent="0.25">
      <c r="A13" s="172" t="s">
        <v>6</v>
      </c>
      <c r="B13" s="172" t="s">
        <v>9</v>
      </c>
      <c r="C13" s="172" t="s">
        <v>334</v>
      </c>
      <c r="D13" s="172" t="s">
        <v>349</v>
      </c>
      <c r="E13" s="172"/>
      <c r="F13" s="172"/>
      <c r="G13" s="172"/>
      <c r="H13" s="172" t="s">
        <v>335</v>
      </c>
      <c r="I13" s="172" t="s">
        <v>348</v>
      </c>
      <c r="J13" s="172" t="s">
        <v>7</v>
      </c>
      <c r="K13" s="17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9" t="s">
        <v>337</v>
      </c>
      <c r="Q13" s="24"/>
    </row>
    <row r="14" spans="1:22" ht="38.25" customHeight="1" x14ac:dyDescent="0.25">
      <c r="A14" s="172"/>
      <c r="B14" s="172"/>
      <c r="C14" s="172"/>
      <c r="D14" s="136" t="s">
        <v>89</v>
      </c>
      <c r="E14" s="136" t="s">
        <v>91</v>
      </c>
      <c r="F14" s="136" t="s">
        <v>93</v>
      </c>
      <c r="G14" s="136" t="s">
        <v>318</v>
      </c>
      <c r="H14" s="172"/>
      <c r="I14" s="172"/>
      <c r="J14" s="172"/>
      <c r="K14" s="170"/>
      <c r="L14" s="136" t="s">
        <v>1</v>
      </c>
      <c r="M14" s="136" t="s">
        <v>317</v>
      </c>
      <c r="N14" s="136" t="s">
        <v>2</v>
      </c>
      <c r="O14" s="136" t="s">
        <v>3</v>
      </c>
      <c r="P14" s="189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365</v>
      </c>
      <c r="B16" s="40" t="s">
        <v>270</v>
      </c>
      <c r="C16" s="37">
        <f>VLOOKUP($B$16:$B$29,'Наименование работ'!B:G,6,)</f>
        <v>776474.31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5034011.7319000009</v>
      </c>
      <c r="I16" s="36">
        <f>VLOOKUP($B$16:$B$29,'Наименование работ'!B:R,17,)</f>
        <v>0</v>
      </c>
      <c r="J16" s="38" t="s">
        <v>353</v>
      </c>
      <c r="K16" s="157">
        <v>0.05</v>
      </c>
      <c r="L16" s="33">
        <f>(N16+O16)*0.04</f>
        <v>10068.023463800002</v>
      </c>
      <c r="M16" s="33">
        <f>147300*K16</f>
        <v>7365</v>
      </c>
      <c r="N16" s="34">
        <f>K16*H16</f>
        <v>251700.58659500006</v>
      </c>
      <c r="O16" s="34">
        <f>K16*I16</f>
        <v>0</v>
      </c>
      <c r="P16" s="34">
        <f t="shared" ref="P16" si="0">SUM(L16:O16)</f>
        <v>269133.61005880008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366</v>
      </c>
      <c r="B17" s="40" t="s">
        <v>152</v>
      </c>
      <c r="C17" s="37">
        <f>VLOOKUP($B$16:$B$29,'Наименование работ'!B:G,6,)</f>
        <v>172473.31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420276.87289999984</v>
      </c>
      <c r="I17" s="36">
        <f>VLOOKUP($B$16:$B$29,'Наименование работ'!B:R,17,)</f>
        <v>951717.14580000006</v>
      </c>
      <c r="J17" s="38" t="s">
        <v>352</v>
      </c>
      <c r="K17" s="157">
        <v>1</v>
      </c>
      <c r="L17" s="33">
        <f>(N17+O17)*0.04</f>
        <v>54879.760748000001</v>
      </c>
      <c r="M17" s="33">
        <f t="shared" ref="M17:M29" si="1">147300*K17</f>
        <v>147300</v>
      </c>
      <c r="N17" s="34">
        <f t="shared" ref="N17:N29" si="2">K17*H17</f>
        <v>420276.87289999984</v>
      </c>
      <c r="O17" s="34">
        <f t="shared" ref="O17:O29" si="3">K17*I17</f>
        <v>951717.14580000006</v>
      </c>
      <c r="P17" s="34">
        <f t="shared" ref="P17" si="4">SUM(L17:O17)</f>
        <v>1574173.7794479998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 t="s">
        <v>367</v>
      </c>
      <c r="B18" s="40" t="s">
        <v>249</v>
      </c>
      <c r="C18" s="37">
        <f>VLOOKUP($B$16:$B$29,'Наименование работ'!B:G,6,)</f>
        <v>49822.96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755254.92239999992</v>
      </c>
      <c r="I18" s="36">
        <f>VLOOKUP($B$16:$B$29,'Наименование работ'!B:R,17,)</f>
        <v>0</v>
      </c>
      <c r="J18" s="38" t="s">
        <v>360</v>
      </c>
      <c r="K18" s="157">
        <v>0.03</v>
      </c>
      <c r="L18" s="33">
        <f t="shared" ref="L18:L29" si="5">(N18+O18)*0.08</f>
        <v>1812.6118137599997</v>
      </c>
      <c r="M18" s="33">
        <f>0*K18</f>
        <v>0</v>
      </c>
      <c r="N18" s="34">
        <f t="shared" si="2"/>
        <v>22657.647671999996</v>
      </c>
      <c r="O18" s="34">
        <f t="shared" si="3"/>
        <v>0</v>
      </c>
      <c r="P18" s="34">
        <f t="shared" ref="P18" si="6">SUM(L18:O18)</f>
        <v>24470.259485759994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 t="s">
        <v>368</v>
      </c>
      <c r="B19" s="40" t="s">
        <v>58</v>
      </c>
      <c r="C19" s="37">
        <f>VLOOKUP($B$16:$B$29,'Наименование работ'!B:G,6,)</f>
        <v>17188.41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6.68</v>
      </c>
      <c r="F19" s="37">
        <f>VLOOKUP($B$16:$B$29,'Наименование работ'!B:O,14,)</f>
        <v>6.02</v>
      </c>
      <c r="G19" s="37">
        <f>VLOOKUP($B$16:$B$29,'Наименование работ'!B:Q,16,)</f>
        <v>0</v>
      </c>
      <c r="H19" s="36">
        <f>VLOOKUP(B19:B32,'Наименование работ'!B:S,18,)</f>
        <v>147899.9019</v>
      </c>
      <c r="I19" s="36">
        <f>VLOOKUP($B$16:$B$29,'Наименование работ'!B:R,17,)</f>
        <v>0</v>
      </c>
      <c r="J19" s="38" t="s">
        <v>352</v>
      </c>
      <c r="K19" s="157">
        <v>1</v>
      </c>
      <c r="L19" s="33">
        <f>(N19+O19)*0.04</f>
        <v>5915.9960760000004</v>
      </c>
      <c r="M19" s="33">
        <f t="shared" si="1"/>
        <v>147300</v>
      </c>
      <c r="N19" s="34">
        <f t="shared" si="2"/>
        <v>147899.9019</v>
      </c>
      <c r="O19" s="34">
        <f t="shared" si="3"/>
        <v>0</v>
      </c>
      <c r="P19" s="34">
        <f t="shared" ref="P19:P23" si="7">SUM(L19:O19)</f>
        <v>301115.89797599998</v>
      </c>
      <c r="Q19" s="25"/>
      <c r="R19" s="25"/>
      <c r="S19" s="25"/>
      <c r="T19" s="25"/>
      <c r="U19" s="20"/>
      <c r="V19" s="17"/>
    </row>
    <row r="20" spans="1:22" ht="24" customHeight="1" x14ac:dyDescent="0.25">
      <c r="A20" s="10" t="s">
        <v>370</v>
      </c>
      <c r="B20" s="40" t="s">
        <v>314</v>
      </c>
      <c r="C20" s="37">
        <f>VLOOKUP($B$16:$B$29,'Наименование работ'!B:G,6,)</f>
        <v>130851.22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6.68</v>
      </c>
      <c r="F20" s="37">
        <f>VLOOKUP($B$16:$B$29,'Наименование работ'!B:O,14,)</f>
        <v>6.02</v>
      </c>
      <c r="G20" s="37">
        <f>VLOOKUP($B$16:$B$29,'Наименование работ'!B:Q,16,)</f>
        <v>0</v>
      </c>
      <c r="H20" s="36">
        <f>VLOOKUP(B20:B33,'Наименование работ'!B:S,18,)</f>
        <v>1461107.9273000001</v>
      </c>
      <c r="I20" s="36">
        <f>VLOOKUP($B$16:$B$29,'Наименование работ'!B:R,17,)</f>
        <v>0</v>
      </c>
      <c r="J20" s="38" t="s">
        <v>369</v>
      </c>
      <c r="K20" s="157">
        <v>0.12</v>
      </c>
      <c r="L20" s="33">
        <f>(N20+O20)*0.04</f>
        <v>7013.3180510400007</v>
      </c>
      <c r="M20" s="33">
        <f t="shared" si="1"/>
        <v>17676</v>
      </c>
      <c r="N20" s="34">
        <f t="shared" si="2"/>
        <v>175332.95127600001</v>
      </c>
      <c r="O20" s="34">
        <f t="shared" si="3"/>
        <v>0</v>
      </c>
      <c r="P20" s="34">
        <f t="shared" si="7"/>
        <v>200022.26932704001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7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7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6" t="s">
        <v>317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  <c r="P30" s="34">
        <f>SUM(M16:M29)</f>
        <v>319641</v>
      </c>
    </row>
    <row r="31" spans="1:22" ht="16.5" customHeight="1" x14ac:dyDescent="0.25">
      <c r="A31" s="141"/>
      <c r="B31" s="186" t="s">
        <v>2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8"/>
      <c r="P31" s="35">
        <f>SUM(N16:N29)</f>
        <v>1017867.9603429999</v>
      </c>
    </row>
    <row r="32" spans="1:22" ht="16.5" customHeight="1" x14ac:dyDescent="0.25">
      <c r="A32" s="141"/>
      <c r="B32" s="186" t="s">
        <v>3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8"/>
      <c r="P32" s="35">
        <f>SUM(O16:O29)</f>
        <v>951717.14580000006</v>
      </c>
    </row>
    <row r="33" spans="1:21" ht="16.5" customHeight="1" x14ac:dyDescent="0.25">
      <c r="A33" s="141"/>
      <c r="B33" s="186" t="s">
        <v>346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8"/>
      <c r="P33" s="35">
        <f>SUM(L16:L29)</f>
        <v>79689.710152600004</v>
      </c>
      <c r="Q33" s="32"/>
      <c r="R33" s="32"/>
    </row>
    <row r="34" spans="1:21" ht="16.5" customHeight="1" x14ac:dyDescent="0.25">
      <c r="A34" s="141"/>
      <c r="B34" s="167" t="s">
        <v>12</v>
      </c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34">
        <f>SUM(P30:P33)</f>
        <v>2368915.8162956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2" t="s">
        <v>0</v>
      </c>
      <c r="C38" s="172"/>
      <c r="D38" s="172"/>
      <c r="E38" s="172"/>
      <c r="F38" s="174" t="s">
        <v>337</v>
      </c>
      <c r="G38" s="174"/>
      <c r="H38" s="175"/>
      <c r="I38" s="180" t="s">
        <v>354</v>
      </c>
      <c r="J38" s="181"/>
      <c r="K38" s="170" t="s">
        <v>338</v>
      </c>
      <c r="L38" s="170"/>
      <c r="M38" s="170" t="s">
        <v>339</v>
      </c>
      <c r="N38" s="170"/>
      <c r="O38" s="161"/>
      <c r="P38" s="161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73" t="s">
        <v>319</v>
      </c>
      <c r="C39" s="173"/>
      <c r="D39" s="173"/>
      <c r="E39" s="173"/>
      <c r="F39" s="176">
        <f>P33+P30</f>
        <v>399330.71015260002</v>
      </c>
      <c r="G39" s="176"/>
      <c r="H39" s="177"/>
      <c r="I39" s="182">
        <f>VLOOKUP(H9,O39:P43,2,)</f>
        <v>1.0956003766002589</v>
      </c>
      <c r="J39" s="183"/>
      <c r="K39" s="171">
        <f>F39*$I$39</f>
        <v>437506.87643123738</v>
      </c>
      <c r="L39" s="171"/>
      <c r="M39" s="171">
        <f>K39*1.2</f>
        <v>525008.25171748479</v>
      </c>
      <c r="N39" s="171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73" t="s">
        <v>2</v>
      </c>
      <c r="C40" s="173"/>
      <c r="D40" s="173"/>
      <c r="E40" s="173"/>
      <c r="F40" s="178">
        <f>P31</f>
        <v>1017867.9603429999</v>
      </c>
      <c r="G40" s="178"/>
      <c r="H40" s="179"/>
      <c r="I40" s="184"/>
      <c r="J40" s="185"/>
      <c r="K40" s="171">
        <f t="shared" ref="K40:K41" si="11">F40*$I$39</f>
        <v>1115176.5206811281</v>
      </c>
      <c r="L40" s="171"/>
      <c r="M40" s="171">
        <f>K40*1.2</f>
        <v>1338211.8248173536</v>
      </c>
      <c r="N40" s="171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73" t="s">
        <v>3</v>
      </c>
      <c r="C41" s="173"/>
      <c r="D41" s="173"/>
      <c r="E41" s="173"/>
      <c r="F41" s="178">
        <f>P32</f>
        <v>951717.14580000006</v>
      </c>
      <c r="G41" s="178"/>
      <c r="H41" s="179"/>
      <c r="I41" s="184"/>
      <c r="J41" s="185"/>
      <c r="K41" s="171">
        <f t="shared" si="11"/>
        <v>1042701.6633554036</v>
      </c>
      <c r="L41" s="171"/>
      <c r="M41" s="171">
        <f t="shared" ref="M41" si="12">K41*1.2</f>
        <v>1251241.9960264843</v>
      </c>
      <c r="N41" s="171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73" t="s">
        <v>4</v>
      </c>
      <c r="C42" s="173"/>
      <c r="D42" s="173"/>
      <c r="E42" s="173"/>
      <c r="F42" s="178"/>
      <c r="G42" s="178"/>
      <c r="H42" s="179"/>
      <c r="I42" s="184"/>
      <c r="J42" s="185"/>
      <c r="K42" s="197">
        <f>SUM(F43:H45)*$I$39</f>
        <v>533092.0914200797</v>
      </c>
      <c r="L42" s="198"/>
      <c r="M42" s="197">
        <f>K42*1.2</f>
        <v>639710.50970409566</v>
      </c>
      <c r="N42" s="198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203" t="s">
        <v>356</v>
      </c>
      <c r="C43" s="203"/>
      <c r="D43" s="203"/>
      <c r="E43" s="203"/>
      <c r="F43" s="201">
        <f>SUM(F39:H41)/100*P49</f>
        <v>50694.798468725843</v>
      </c>
      <c r="G43" s="201"/>
      <c r="H43" s="202"/>
      <c r="I43" s="184"/>
      <c r="J43" s="185"/>
      <c r="K43" s="199"/>
      <c r="L43" s="200"/>
      <c r="M43" s="199"/>
      <c r="N43" s="200"/>
      <c r="O43" s="162" t="s">
        <v>359</v>
      </c>
      <c r="P43" s="146">
        <f>1.0457995653007*P42</f>
        <v>1.0956003766002589</v>
      </c>
      <c r="Q43" s="150"/>
      <c r="R43" s="159"/>
      <c r="S43" s="22"/>
      <c r="T43" s="22"/>
      <c r="U43" s="22"/>
    </row>
    <row r="44" spans="1:21" ht="15.75" customHeight="1" x14ac:dyDescent="0.25">
      <c r="A44" s="137" t="s">
        <v>79</v>
      </c>
      <c r="B44" s="203" t="s">
        <v>358</v>
      </c>
      <c r="C44" s="203"/>
      <c r="D44" s="203"/>
      <c r="E44" s="203"/>
      <c r="F44" s="201">
        <f>SUM(F39:H41)/100*P50</f>
        <v>277163.1505065852</v>
      </c>
      <c r="G44" s="201"/>
      <c r="H44" s="202"/>
      <c r="I44" s="184"/>
      <c r="J44" s="185"/>
      <c r="K44" s="199"/>
      <c r="L44" s="200"/>
      <c r="M44" s="199"/>
      <c r="N44" s="200"/>
      <c r="O44" s="154" t="s">
        <v>362</v>
      </c>
      <c r="P44" s="163">
        <f>1.0457995653007*P43</f>
        <v>1.1457783975918339</v>
      </c>
      <c r="Q44" s="150"/>
      <c r="R44" s="159"/>
      <c r="S44" s="22"/>
      <c r="T44" s="22"/>
      <c r="U44" s="22"/>
    </row>
    <row r="45" spans="1:21" ht="15.75" customHeight="1" x14ac:dyDescent="0.25">
      <c r="A45" s="137" t="s">
        <v>80</v>
      </c>
      <c r="B45" s="204" t="s">
        <v>357</v>
      </c>
      <c r="C45" s="204"/>
      <c r="D45" s="204"/>
      <c r="E45" s="204"/>
      <c r="F45" s="201">
        <f>SUM(F39:H41)/100*P51</f>
        <v>158717.35969180521</v>
      </c>
      <c r="G45" s="201"/>
      <c r="H45" s="202"/>
      <c r="I45" s="184"/>
      <c r="J45" s="185"/>
      <c r="K45" s="199"/>
      <c r="L45" s="200"/>
      <c r="M45" s="199"/>
      <c r="N45" s="200"/>
      <c r="O45" s="154" t="s">
        <v>363</v>
      </c>
      <c r="P45" s="155">
        <f>1.0457995653007*P44</f>
        <v>1.1982545501324724</v>
      </c>
      <c r="Q45" s="150"/>
      <c r="R45" s="159"/>
      <c r="S45" s="22"/>
      <c r="T45" s="22"/>
      <c r="U45" s="22"/>
    </row>
    <row r="46" spans="1:21" ht="14.25" customHeight="1" x14ac:dyDescent="0.25">
      <c r="A46" s="205" t="s">
        <v>81</v>
      </c>
      <c r="B46" s="205"/>
      <c r="C46" s="205"/>
      <c r="D46" s="205"/>
      <c r="E46" s="205"/>
      <c r="F46" s="196">
        <f>SUM(F39:H45)</f>
        <v>2855491.1249627164</v>
      </c>
      <c r="G46" s="196"/>
      <c r="H46" s="196"/>
      <c r="I46" s="196"/>
      <c r="J46" s="196"/>
      <c r="K46" s="195">
        <f>SUM(K39:L45)</f>
        <v>3128477.151887849</v>
      </c>
      <c r="L46" s="195"/>
      <c r="M46" s="195">
        <f>SUM(M39:N45)</f>
        <v>3754172.5822654185</v>
      </c>
      <c r="N46" s="195"/>
      <c r="O46" s="162" t="s">
        <v>364</v>
      </c>
      <c r="P46" s="155">
        <f>1.0457995653007*P45</f>
        <v>1.2531340876481254</v>
      </c>
      <c r="Q46" s="151"/>
      <c r="R46" s="160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2"/>
      <c r="P47" s="156"/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94" t="s">
        <v>342</v>
      </c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47"/>
      <c r="P49" s="164">
        <v>2.14</v>
      </c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94" t="s">
        <v>345</v>
      </c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52"/>
      <c r="P50" s="165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3" t="s">
        <v>343</v>
      </c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52"/>
      <c r="P51" s="165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3" t="s">
        <v>344</v>
      </c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52"/>
      <c r="P52" s="165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288" sqref="B288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Вырубка просеки (1 га)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Алфёрова Ирина Сергеевна</cp:lastModifiedBy>
  <cp:lastPrinted>2022-10-17T11:16:39Z</cp:lastPrinted>
  <dcterms:created xsi:type="dcterms:W3CDTF">2021-07-06T05:30:42Z</dcterms:created>
  <dcterms:modified xsi:type="dcterms:W3CDTF">2024-01-15T07:19:54Z</dcterms:modified>
</cp:coreProperties>
</file>