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Копылова_АС\23 08 00003\"/>
    </mc:Choice>
  </mc:AlternateContent>
  <xr:revisionPtr revIDLastSave="0" documentId="13_ncr:1_{7A7FD1E4-736F-4101-A9D6-7C068D322B3D}" xr6:coauthVersionLast="36" xr6:coauthVersionMax="36" xr10:uidLastSave="{00000000-0000-0000-0000-000000000000}"/>
  <bookViews>
    <workbookView xWindow="0" yWindow="0" windowWidth="28800" windowHeight="12225" tabRatio="610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s="1"/>
  <c r="P45" i="4" s="1"/>
  <c r="P46" i="4" s="1"/>
  <c r="I39" i="4" l="1"/>
  <c r="M18" i="4" l="1"/>
  <c r="M19" i="4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C191" i="5"/>
  <c r="L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 s="1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C183" i="5"/>
  <c r="L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C163" i="5"/>
  <c r="L163" i="5" s="1"/>
  <c r="N162" i="5"/>
  <c r="H162" i="5"/>
  <c r="E162" i="5"/>
  <c r="P162" i="5" s="1"/>
  <c r="N161" i="5"/>
  <c r="H161" i="5"/>
  <c r="E161" i="5"/>
  <c r="P161" i="5" s="1"/>
  <c r="N160" i="5"/>
  <c r="E160" i="5"/>
  <c r="C160" i="5" s="1"/>
  <c r="L160" i="5" s="1"/>
  <c r="N159" i="5"/>
  <c r="H159" i="5"/>
  <c r="E159" i="5"/>
  <c r="P159" i="5" s="1"/>
  <c r="C159" i="5"/>
  <c r="L159" i="5" s="1"/>
  <c r="P158" i="5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C122" i="5"/>
  <c r="L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C115" i="5"/>
  <c r="L115" i="5" s="1"/>
  <c r="N114" i="5"/>
  <c r="E114" i="5"/>
  <c r="N113" i="5"/>
  <c r="E113" i="5"/>
  <c r="P113" i="5" s="1"/>
  <c r="C113" i="5"/>
  <c r="L113" i="5" s="1"/>
  <c r="N112" i="5"/>
  <c r="H112" i="5"/>
  <c r="E112" i="5"/>
  <c r="P112" i="5" s="1"/>
  <c r="C112" i="5"/>
  <c r="L112" i="5" s="1"/>
  <c r="N111" i="5"/>
  <c r="H111" i="5"/>
  <c r="E111" i="5"/>
  <c r="P111" i="5" s="1"/>
  <c r="N110" i="5"/>
  <c r="H110" i="5"/>
  <c r="E110" i="5"/>
  <c r="P110" i="5" s="1"/>
  <c r="C110" i="5"/>
  <c r="L110" i="5" s="1"/>
  <c r="N109" i="5"/>
  <c r="E109" i="5"/>
  <c r="N108" i="5"/>
  <c r="H108" i="5"/>
  <c r="E108" i="5"/>
  <c r="C108" i="5" s="1"/>
  <c r="L108" i="5" s="1"/>
  <c r="N107" i="5"/>
  <c r="E107" i="5"/>
  <c r="P107" i="5" s="1"/>
  <c r="C107" i="5"/>
  <c r="L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C104" i="5"/>
  <c r="L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C89" i="5"/>
  <c r="L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C86" i="5"/>
  <c r="L86" i="5" s="1"/>
  <c r="N85" i="5"/>
  <c r="H85" i="5"/>
  <c r="E85" i="5"/>
  <c r="P85" i="5" s="1"/>
  <c r="C85" i="5"/>
  <c r="L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N81" i="5"/>
  <c r="E81" i="5"/>
  <c r="P81" i="5" s="1"/>
  <c r="C81" i="5"/>
  <c r="L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C8" i="5"/>
  <c r="L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P4" i="5"/>
  <c r="N4" i="5"/>
  <c r="H4" i="5"/>
  <c r="E4" i="5"/>
  <c r="C4" i="5" s="1"/>
  <c r="L4" i="5" s="1"/>
  <c r="R3" i="5"/>
  <c r="N3" i="5"/>
  <c r="H3" i="5"/>
  <c r="E3" i="5"/>
  <c r="P3" i="5" s="1"/>
  <c r="C82" i="5" l="1"/>
  <c r="L82" i="5" s="1"/>
  <c r="C116" i="5"/>
  <c r="L116" i="5" s="1"/>
  <c r="P148" i="5"/>
  <c r="P160" i="5"/>
  <c r="P145" i="5"/>
  <c r="P120" i="5"/>
  <c r="C3" i="5"/>
  <c r="L3" i="5" s="1"/>
  <c r="C83" i="5"/>
  <c r="L83" i="5" s="1"/>
  <c r="I83" i="5" s="1"/>
  <c r="J83" i="5" s="1"/>
  <c r="C174" i="5"/>
  <c r="L174" i="5" s="1"/>
  <c r="P177" i="5"/>
  <c r="C167" i="5"/>
  <c r="L167" i="5" s="1"/>
  <c r="P118" i="5"/>
  <c r="I118" i="5" s="1"/>
  <c r="J118" i="5" s="1"/>
  <c r="C88" i="5"/>
  <c r="L88" i="5" s="1"/>
  <c r="P95" i="5"/>
  <c r="I292" i="5"/>
  <c r="J292" i="5" s="1"/>
  <c r="I54" i="5"/>
  <c r="J54" i="5" s="1"/>
  <c r="C111" i="5"/>
  <c r="L111" i="5" s="1"/>
  <c r="P79" i="5"/>
  <c r="I79" i="5" s="1"/>
  <c r="J79" i="5" s="1"/>
  <c r="C75" i="5"/>
  <c r="L75" i="5" s="1"/>
  <c r="P78" i="5"/>
  <c r="C102" i="5"/>
  <c r="L102" i="5" s="1"/>
  <c r="C105" i="5"/>
  <c r="L105" i="5" s="1"/>
  <c r="I105" i="5" s="1"/>
  <c r="J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C99" i="5"/>
  <c r="L99" i="5" s="1"/>
  <c r="I99" i="5" s="1"/>
  <c r="J99" i="5" s="1"/>
  <c r="C121" i="5"/>
  <c r="L121" i="5" s="1"/>
  <c r="C133" i="5"/>
  <c r="L133" i="5" s="1"/>
  <c r="C169" i="5"/>
  <c r="L169" i="5" s="1"/>
  <c r="C178" i="5"/>
  <c r="L178" i="5" s="1"/>
  <c r="I178" i="5" s="1"/>
  <c r="J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P156" i="5"/>
  <c r="C182" i="5"/>
  <c r="L182" i="5" s="1"/>
  <c r="I182" i="5" s="1"/>
  <c r="J182" i="5" s="1"/>
  <c r="C124" i="5"/>
  <c r="L124" i="5" s="1"/>
  <c r="I124" i="5" s="1"/>
  <c r="J124" i="5" s="1"/>
  <c r="P146" i="5"/>
  <c r="P149" i="5"/>
  <c r="I149" i="5" s="1"/>
  <c r="J149" i="5" s="1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I96" i="5" s="1"/>
  <c r="J96" i="5" s="1"/>
  <c r="C100" i="5"/>
  <c r="L100" i="5" s="1"/>
  <c r="P166" i="5"/>
  <c r="P10" i="5"/>
  <c r="I10" i="5" s="1"/>
  <c r="J10" i="5" s="1"/>
  <c r="P127" i="5"/>
  <c r="P140" i="5"/>
  <c r="I140" i="5" s="1"/>
  <c r="J140" i="5" s="1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100" i="5"/>
  <c r="J100" i="5" s="1"/>
  <c r="I229" i="5"/>
  <c r="J229" i="5" s="1"/>
  <c r="I242" i="5"/>
  <c r="J242" i="5" s="1"/>
  <c r="I251" i="5"/>
  <c r="J251" i="5" s="1"/>
  <c r="I13" i="5"/>
  <c r="J13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112" i="5"/>
  <c r="J112" i="5" s="1"/>
  <c r="I121" i="5"/>
  <c r="J121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216" i="5"/>
  <c r="J216" i="5" s="1"/>
  <c r="I11" i="5"/>
  <c r="J11" i="5" s="1"/>
  <c r="I25" i="5"/>
  <c r="J25" i="5" s="1"/>
  <c r="I44" i="5"/>
  <c r="J44" i="5" s="1"/>
  <c r="I163" i="5"/>
  <c r="J163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154" i="5"/>
  <c r="J154" i="5" s="1"/>
  <c r="I156" i="5"/>
  <c r="J156" i="5" s="1"/>
  <c r="I169" i="5"/>
  <c r="J169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11" i="5"/>
  <c r="J111" i="5" s="1"/>
  <c r="I136" i="5"/>
  <c r="J136" i="5" s="1"/>
  <c r="I167" i="5"/>
  <c r="J167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07" i="5"/>
  <c r="J107" i="5" s="1"/>
  <c r="I160" i="5"/>
  <c r="J160" i="5" s="1"/>
  <c r="I166" i="5"/>
  <c r="J166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1" i="5"/>
  <c r="J81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38" i="5"/>
  <c r="J138" i="5" s="1"/>
  <c r="I139" i="5"/>
  <c r="J139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78" i="5"/>
  <c r="J78" i="5" s="1"/>
  <c r="I86" i="5"/>
  <c r="J86" i="5" s="1"/>
  <c r="I98" i="5"/>
  <c r="J98" i="5" s="1"/>
  <c r="I120" i="5"/>
  <c r="J120" i="5" s="1"/>
  <c r="I145" i="5"/>
  <c r="J145" i="5" s="1"/>
  <c r="I146" i="5"/>
  <c r="J146" i="5" s="1"/>
  <c r="I148" i="5"/>
  <c r="J148" i="5" s="1"/>
  <c r="I159" i="5"/>
  <c r="J159" i="5" s="1"/>
  <c r="I191" i="5"/>
  <c r="J191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I89" i="5"/>
  <c r="J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I85" i="5"/>
  <c r="J85" i="5" s="1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C117" i="5"/>
  <c r="L117" i="5" s="1"/>
  <c r="P117" i="5"/>
  <c r="P126" i="5"/>
  <c r="I126" i="5" s="1"/>
  <c r="J126" i="5" s="1"/>
  <c r="I130" i="5"/>
  <c r="J130" i="5" s="1"/>
  <c r="I133" i="5"/>
  <c r="J133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110" i="5"/>
  <c r="J110" i="5" s="1"/>
  <c r="I115" i="5"/>
  <c r="J115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S292" i="5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H20" i="4" s="1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S84" i="5" l="1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<sst xmlns="http://schemas.openxmlformats.org/spreadsheetml/2006/main" count="407" uniqueCount="367">
  <si>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</si>
  <si>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</si>
  <si>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</si>
  <si>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</si>
  <si>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</si>
  <si>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</si>
  <si>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</si>
  <si>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</si>
  <si>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</si>
  <si>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</si>
  <si>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</si>
  <si>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</si>
  <si>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</si>
  <si>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</si>
  <si>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</si>
  <si>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</si>
  <si>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</si>
  <si>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</si>
  <si>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</si>
  <si>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</si>
  <si>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</si>
  <si>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</si>
  <si>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</si>
  <si>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</si>
  <si>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</si>
  <si>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</si>
  <si>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</si>
  <si>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</si>
  <si>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</si>
  <si>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</si>
  <si>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</si>
  <si>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</si>
  <si>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</si>
  <si>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</si>
  <si>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</si>
  <si>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</si>
  <si>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</si>
  <si>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</si>
  <si>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</si>
  <si>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</si>
  <si>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</si>
  <si>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</si>
  <si>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</si>
  <si>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</si>
  <si>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</si>
  <si>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</si>
  <si>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</si>
  <si>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</si>
  <si>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</si>
  <si>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</si>
  <si>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</si>
  <si>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</si>
  <si>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</si>
  <si>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</si>
  <si>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</si>
  <si>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</si>
  <si>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</si>
  <si>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</si>
  <si>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</si>
  <si>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</si>
  <si>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</si>
  <si>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</si>
  <si>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</si>
  <si>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</si>
  <si>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</si>
  <si>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</si>
  <si>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</si>
  <si>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</si>
  <si>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</si>
  <si>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</si>
  <si>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</si>
  <si>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</si>
  <si>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</si>
  <si>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</si>
  <si>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</si>
  <si>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</si>
  <si>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</si>
  <si>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</si>
  <si>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</si>
  <si>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</si>
  <si>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</si>
  <si>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</si>
  <si>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</si>
  <si>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</si>
  <si>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</si>
  <si>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</si>
  <si>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</si>
  <si>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</si>
  <si>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</si>
  <si>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</si>
  <si>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</si>
  <si>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</si>
  <si>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</si>
  <si>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</si>
  <si>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</si>
  <si>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</si>
  <si>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</si>
  <si>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</si>
  <si>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</si>
  <si>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</si>
  <si>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</si>
  <si>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</si>
  <si>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</si>
  <si>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</si>
  <si>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</si>
  <si>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</si>
  <si>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</si>
  <si>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</si>
  <si>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</si>
  <si>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</si>
  <si>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</si>
  <si>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</si>
  <si>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</si>
  <si>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</si>
  <si>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</si>
  <si>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</si>
  <si>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</si>
  <si>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</si>
  <si>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</si>
  <si>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</si>
  <si>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</si>
  <si>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</si>
  <si>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</si>
  <si>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</si>
  <si>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</si>
  <si>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</si>
  <si>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</si>
  <si>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</si>
  <si>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</si>
  <si>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</si>
  <si>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</si>
  <si>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</si>
  <si>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</si>
  <si>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</si>
  <si>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</si>
  <si>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</si>
  <si>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</si>
  <si>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</si>
  <si>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</si>
  <si>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</si>
  <si>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</si>
  <si>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</si>
  <si>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</si>
  <si>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</si>
  <si>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</si>
  <si>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</si>
  <si>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</si>
  <si>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</si>
  <si>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</si>
  <si>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</si>
  <si>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</si>
  <si>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</si>
  <si>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</si>
  <si>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</si>
  <si>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</si>
  <si>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</si>
  <si>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</si>
  <si>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</si>
  <si>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</si>
  <si>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</si>
  <si>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</si>
  <si>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</si>
  <si>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</si>
  <si>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</si>
  <si>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</si>
  <si>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</si>
  <si>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</si>
  <si>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</si>
  <si>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</si>
  <si>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</si>
  <si>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</si>
  <si>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</si>
  <si>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</si>
  <si>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</si>
  <si>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</si>
  <si>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</si>
  <si>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</si>
  <si>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</si>
  <si>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</si>
  <si>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</si>
  <si>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</si>
  <si>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</si>
  <si>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</si>
  <si>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</si>
  <si>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</si>
  <si>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</si>
  <si>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</si>
  <si>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</si>
  <si>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</si>
  <si>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</si>
  <si>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</si>
  <si>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</si>
  <si>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</si>
  <si>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</si>
  <si>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</si>
  <si>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</si>
  <si>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</si>
  <si>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</si>
  <si>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</si>
  <si>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</si>
  <si>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</si>
  <si>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</si>
  <si>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</si>
  <si>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</si>
  <si>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</si>
  <si>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</si>
  <si>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</si>
  <si>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</si>
  <si>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</si>
  <si>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</si>
  <si>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</si>
  <si>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</si>
  <si>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</si>
  <si>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</si>
  <si>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</si>
  <si>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</si>
  <si>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</si>
  <si>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</si>
  <si>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</si>
  <si>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</si>
  <si>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</si>
  <si>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</si>
  <si>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</si>
  <si>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</si>
  <si>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</si>
  <si>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</si>
  <si>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</si>
  <si>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</si>
  <si>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</si>
  <si>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</si>
  <si>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</si>
  <si>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</si>
  <si>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</si>
  <si>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</si>
  <si>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</si>
  <si>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</si>
  <si>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</si>
  <si>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</si>
  <si>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</si>
  <si>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</si>
  <si>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</si>
  <si>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</si>
  <si>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</si>
  <si>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</si>
  <si>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</si>
  <si>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</si>
  <si>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</si>
  <si>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</si>
  <si>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</si>
  <si>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</si>
  <si>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</si>
  <si>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</si>
  <si>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</si>
  <si>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</si>
  <si>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</si>
  <si>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</si>
  <si>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</si>
  <si>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</si>
  <si>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</si>
  <si>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</si>
  <si>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</si>
  <si>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</si>
  <si>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</si>
  <si>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</si>
  <si>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</si>
  <si>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</si>
  <si>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</si>
  <si>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</si>
  <si>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</si>
  <si>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</si>
  <si>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</si>
  <si>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</si>
  <si>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</si>
  <si>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</si>
  <si>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</si>
  <si>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</si>
  <si>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</si>
  <si>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</si>
  <si>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</si>
  <si>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</si>
  <si>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</si>
  <si>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</si>
  <si>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</si>
  <si>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</si>
  <si>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</si>
  <si>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</si>
  <si>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</si>
  <si>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</si>
  <si>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</si>
  <si>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</si>
  <si>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</si>
  <si>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</si>
  <si>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</si>
  <si>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</si>
  <si>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</si>
  <si>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</si>
  <si>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</si>
  <si>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</si>
  <si>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</si>
  <si>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</si>
  <si>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</si>
  <si>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</si>
  <si>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</si>
  <si>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</si>
  <si>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</si>
  <si>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</si>
  <si>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</si>
  <si>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</si>
  <si>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</si>
  <si>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</si>
  <si>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</si>
  <si>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</si>
  <si>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</si>
  <si>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</si>
  <si>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</si>
  <si>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</si>
  <si>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</si>
  <si>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</si>
  <si>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</si>
  <si>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</si>
  <si>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</si>
  <si>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</si>
  <si>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</si>
  <si>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</si>
  <si>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</si>
  <si>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</si>
  <si>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</si>
  <si>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</si>
  <si>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</si>
  <si>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</si>
  <si>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</si>
  <si>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</si>
  <si>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</si>
  <si>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</si>
  <si>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</si>
  <si>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</si>
  <si>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</si>
  <si>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</si>
  <si>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</si>
  <si>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</si>
  <si>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</si>
  <si>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</si>
  <si>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</si>
  <si>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</si>
  <si>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</si>
  <si>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</si>
  <si>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</si>
  <si>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</si>
  <si>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</si>
  <si>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</si>
  <si>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</si>
  <si>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</si>
  <si>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</si>
  <si>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</si>
  <si>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</si>
  <si>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</si>
  <si>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</si>
  <si>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</si>
  <si>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</si>
  <si>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</si>
  <si>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</si>
  <si>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</si>
  <si>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</si>
  <si>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1</t>
  </si>
  <si>
    <t>2</t>
  </si>
  <si>
    <t>Реконструкция ВЛ-6кВ ТП-1369-ТП-1371, ТЭЦ-СПЗ ТП-2 яч.8 в части замены опор и неизолированного провода на СИП протяженностью 2,816 км г. Сланцы ЛО</t>
  </si>
  <si>
    <t>O_26-1-08-0-01-04-0-0042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</si>
</sst>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3" fillId="0" borderId="0" xfId="0" applyFont="1"/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90" zoomScaleNormal="85" zoomScaleSheetLayoutView="90" workbookViewId="0">
      <selection activeCell="A6" sqref="A6"/>
    </sheetView>
  </sheetViews>
  <sheetFormatPr defaultRowHeight="15" x14ac:dyDescent="0.25"/>
  <cols>
    <col min="1" max="1" width="6.7109375" style="4" customWidth="1"/>
    <col min="2" max="2" width="34.8554687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3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41.25" customHeight="1" x14ac:dyDescent="0.25">
      <c r="A5" s="189" t="s">
        <v>365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</row>
    <row r="6" spans="1:22" ht="10.5" customHeight="1" x14ac:dyDescent="0.25"/>
    <row r="7" spans="1:22" ht="13.5" customHeight="1" x14ac:dyDescent="0.25">
      <c r="A7" s="6" t="s">
        <v>5</v>
      </c>
      <c r="C7" s="2" t="s">
        <v>366</v>
      </c>
      <c r="H7" s="192"/>
      <c r="I7" s="192"/>
      <c r="J7" s="192"/>
      <c r="K7" s="192"/>
      <c r="L7" s="192"/>
      <c r="M7" s="192"/>
      <c r="N7" s="192"/>
      <c r="O7" s="192"/>
      <c r="P7" s="192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1" t="s">
        <v>359</v>
      </c>
      <c r="I9" s="191"/>
      <c r="J9" s="191"/>
      <c r="K9" s="191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5" t="s">
        <v>355</v>
      </c>
    </row>
    <row r="13" spans="1:22" s="4" customFormat="1" ht="39" customHeight="1" x14ac:dyDescent="0.25">
      <c r="A13" s="171" t="s">
        <v>6</v>
      </c>
      <c r="B13" s="171" t="s">
        <v>9</v>
      </c>
      <c r="C13" s="171" t="s">
        <v>334</v>
      </c>
      <c r="D13" s="171" t="s">
        <v>349</v>
      </c>
      <c r="E13" s="171"/>
      <c r="F13" s="171"/>
      <c r="G13" s="171"/>
      <c r="H13" s="171" t="s">
        <v>335</v>
      </c>
      <c r="I13" s="171" t="s">
        <v>348</v>
      </c>
      <c r="J13" s="171" t="s">
        <v>7</v>
      </c>
      <c r="K13" s="169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8" t="s">
        <v>337</v>
      </c>
      <c r="Q13" s="24"/>
    </row>
    <row r="14" spans="1:22" ht="38.25" customHeight="1" x14ac:dyDescent="0.25">
      <c r="A14" s="171"/>
      <c r="B14" s="171"/>
      <c r="C14" s="171"/>
      <c r="D14" s="136" t="s">
        <v>89</v>
      </c>
      <c r="E14" s="136" t="s">
        <v>91</v>
      </c>
      <c r="F14" s="136" t="s">
        <v>93</v>
      </c>
      <c r="G14" s="136" t="s">
        <v>318</v>
      </c>
      <c r="H14" s="171"/>
      <c r="I14" s="171"/>
      <c r="J14" s="171"/>
      <c r="K14" s="169"/>
      <c r="L14" s="136" t="s">
        <v>1</v>
      </c>
      <c r="M14" s="136" t="s">
        <v>317</v>
      </c>
      <c r="N14" s="136" t="s">
        <v>2</v>
      </c>
      <c r="O14" s="136" t="s">
        <v>3</v>
      </c>
      <c r="P14" s="188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39"/>
      <c r="R15" s="139"/>
      <c r="S15" s="139"/>
      <c r="T15" s="139"/>
      <c r="U15" s="39"/>
      <c r="V15" s="17"/>
    </row>
    <row r="16" spans="1:22" ht="24" customHeight="1" x14ac:dyDescent="0.25">
      <c r="A16" s="10" t="s">
        <v>363</v>
      </c>
      <c r="B16" s="40" t="s">
        <v>42</v>
      </c>
      <c r="C16" s="37">
        <f>VLOOKUP($B$16:$B$29,'Наименование работ'!B:G,6,)</f>
        <v>408072.88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6.68</v>
      </c>
      <c r="F16" s="37">
        <f>VLOOKUP($B$16:$B$29,'Наименование работ'!B:O,14,)</f>
        <v>6.02</v>
      </c>
      <c r="G16" s="37">
        <f>VLOOKUP($B$16:$B$29,'Наименование работ'!B:Q,16,)</f>
        <v>0</v>
      </c>
      <c r="H16" s="36">
        <f>VLOOKUP(B16:B29,'Наименование работ'!B:S,18,)</f>
        <v>3973063.1257999996</v>
      </c>
      <c r="I16" s="36">
        <f>VLOOKUP($B$16:$B$29,'Наименование работ'!B:R,17,)</f>
        <v>0</v>
      </c>
      <c r="J16" s="38" t="s">
        <v>353</v>
      </c>
      <c r="K16" s="154">
        <v>2.8159999999999998</v>
      </c>
      <c r="L16" s="33">
        <f>(N16+O16)*0.04</f>
        <v>447525.83049011196</v>
      </c>
      <c r="M16" s="33">
        <f>147300*K16</f>
        <v>414796.79999999999</v>
      </c>
      <c r="N16" s="34">
        <f>K16*H16</f>
        <v>11188145.762252798</v>
      </c>
      <c r="O16" s="34">
        <f>K16*I16</f>
        <v>0</v>
      </c>
      <c r="P16" s="34">
        <f t="shared" ref="P16" si="0">SUM(L16:O16)</f>
        <v>12050468.392742909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 t="s">
        <v>364</v>
      </c>
      <c r="B17" s="162" t="s">
        <v>59</v>
      </c>
      <c r="C17" s="37">
        <f>VLOOKUP($B$16:$B$29,'Наименование работ'!B:G,6,)</f>
        <v>11150.76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6.68</v>
      </c>
      <c r="F17" s="37">
        <f>VLOOKUP($B$16:$B$29,'Наименование работ'!B:O,14,)</f>
        <v>6.02</v>
      </c>
      <c r="G17" s="37">
        <f>VLOOKUP($B$16:$B$29,'Наименование работ'!B:Q,16,)</f>
        <v>0</v>
      </c>
      <c r="H17" s="36">
        <f>VLOOKUP(B17:B30,'Наименование работ'!B:S,18,)</f>
        <v>102937.0815</v>
      </c>
      <c r="I17" s="36">
        <f>VLOOKUP($B$16:$B$29,'Наименование работ'!B:R,17,)</f>
        <v>0</v>
      </c>
      <c r="J17" s="38" t="s">
        <v>352</v>
      </c>
      <c r="K17" s="154">
        <v>2</v>
      </c>
      <c r="L17" s="33">
        <f>(N17+O17)*0.04</f>
        <v>8234.9665199999999</v>
      </c>
      <c r="M17" s="33">
        <v>0</v>
      </c>
      <c r="N17" s="34">
        <f t="shared" ref="N17:N29" si="1">K17*H17</f>
        <v>205874.163</v>
      </c>
      <c r="O17" s="34">
        <f t="shared" ref="O17:O29" si="2">K17*I17</f>
        <v>0</v>
      </c>
      <c r="P17" s="34">
        <f t="shared" ref="P17" si="3">SUM(L17:O17)</f>
        <v>214109.12951999999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VLOOKUP($B$16:$B$29,'Наименование работ'!B:G,6,)</f>
        <v>0</v>
      </c>
      <c r="D18" s="37">
        <f>VLOOKUP($B$16:$B$29,'Наименование работ'!B:K,10,)</f>
        <v>0</v>
      </c>
      <c r="E18" s="37">
        <f>VLOOKUP($B$16:$B$29,'Наименование работ'!B:M,12,)</f>
        <v>0</v>
      </c>
      <c r="F18" s="37">
        <f>VLOOKUP($B$16:$B$29,'Наименование работ'!B:O,14,)</f>
        <v>0</v>
      </c>
      <c r="G18" s="37">
        <f>VLOOKUP($B$16:$B$29,'Наименование работ'!B:Q,16,)</f>
        <v>0</v>
      </c>
      <c r="H18" s="36">
        <f>VLOOKUP(B18:B31,'Наименование работ'!B:S,18,)</f>
        <v>0</v>
      </c>
      <c r="I18" s="36">
        <f>VLOOKUP($B$16:$B$29,'Наименование работ'!B:R,17,)</f>
        <v>0</v>
      </c>
      <c r="J18" s="38" t="s">
        <v>353</v>
      </c>
      <c r="K18" s="154">
        <v>0</v>
      </c>
      <c r="L18" s="33">
        <f t="shared" ref="L18:L29" si="4">(N18+O18)*0.08</f>
        <v>0</v>
      </c>
      <c r="M18" s="33">
        <f t="shared" ref="M18:M29" si="5">147300*K18</f>
        <v>0</v>
      </c>
      <c r="N18" s="34">
        <f t="shared" si="1"/>
        <v>0</v>
      </c>
      <c r="O18" s="34">
        <f t="shared" si="2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352</v>
      </c>
      <c r="K19" s="154">
        <v>0</v>
      </c>
      <c r="L19" s="33">
        <f>(N19+O19)*0.04</f>
        <v>0</v>
      </c>
      <c r="M19" s="33">
        <f t="shared" si="5"/>
        <v>0</v>
      </c>
      <c r="N19" s="34">
        <f t="shared" si="1"/>
        <v>0</v>
      </c>
      <c r="O19" s="34">
        <f t="shared" si="2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352</v>
      </c>
      <c r="K20" s="154">
        <v>0</v>
      </c>
      <c r="L20" s="33">
        <f>(N20+O20)*0.04</f>
        <v>0</v>
      </c>
      <c r="M20" s="33">
        <f t="shared" si="5"/>
        <v>0</v>
      </c>
      <c r="N20" s="34">
        <f t="shared" si="1"/>
        <v>0</v>
      </c>
      <c r="O20" s="34">
        <f t="shared" si="2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54">
        <v>0</v>
      </c>
      <c r="L21" s="33">
        <f>(N21+O21)*0.04</f>
        <v>0</v>
      </c>
      <c r="M21" s="33">
        <f t="shared" si="5"/>
        <v>0</v>
      </c>
      <c r="N21" s="34">
        <f t="shared" si="1"/>
        <v>0</v>
      </c>
      <c r="O21" s="34">
        <f t="shared" si="2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54">
        <v>0</v>
      </c>
      <c r="L22" s="33">
        <f t="shared" si="4"/>
        <v>0</v>
      </c>
      <c r="M22" s="33">
        <f t="shared" si="5"/>
        <v>0</v>
      </c>
      <c r="N22" s="34">
        <f t="shared" si="1"/>
        <v>0</v>
      </c>
      <c r="O22" s="34">
        <f t="shared" si="2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4"/>
        <v>0</v>
      </c>
      <c r="M23" s="33">
        <f t="shared" si="5"/>
        <v>0</v>
      </c>
      <c r="N23" s="34">
        <f t="shared" si="1"/>
        <v>0</v>
      </c>
      <c r="O23" s="34">
        <f t="shared" si="2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4"/>
        <v>0</v>
      </c>
      <c r="M24" s="33">
        <f t="shared" si="5"/>
        <v>0</v>
      </c>
      <c r="N24" s="34">
        <f t="shared" ref="N24:N28" si="8">K24*H24</f>
        <v>0</v>
      </c>
      <c r="O24" s="34">
        <f t="shared" si="2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4"/>
        <v>0</v>
      </c>
      <c r="M25" s="33">
        <f t="shared" si="5"/>
        <v>0</v>
      </c>
      <c r="N25" s="34">
        <f t="shared" si="8"/>
        <v>0</v>
      </c>
      <c r="O25" s="34">
        <f t="shared" si="2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4"/>
        <v>0</v>
      </c>
      <c r="M26" s="33">
        <f t="shared" si="5"/>
        <v>0</v>
      </c>
      <c r="N26" s="34">
        <f t="shared" si="8"/>
        <v>0</v>
      </c>
      <c r="O26" s="34">
        <f t="shared" si="2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4"/>
        <v>0</v>
      </c>
      <c r="M27" s="33">
        <f t="shared" si="5"/>
        <v>0</v>
      </c>
      <c r="N27" s="34">
        <f t="shared" si="8"/>
        <v>0</v>
      </c>
      <c r="O27" s="34">
        <f t="shared" si="2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4"/>
        <v>0</v>
      </c>
      <c r="M28" s="33">
        <f t="shared" si="5"/>
        <v>0</v>
      </c>
      <c r="N28" s="34">
        <f t="shared" si="8"/>
        <v>0</v>
      </c>
      <c r="O28" s="34">
        <f t="shared" si="2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4"/>
        <v>0</v>
      </c>
      <c r="M29" s="33">
        <f t="shared" si="5"/>
        <v>0</v>
      </c>
      <c r="N29" s="34">
        <f t="shared" si="1"/>
        <v>0</v>
      </c>
      <c r="O29" s="34">
        <f t="shared" si="2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5" t="s">
        <v>317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7"/>
      <c r="P30" s="34">
        <f>SUM(M16:M29)</f>
        <v>414796.79999999999</v>
      </c>
    </row>
    <row r="31" spans="1:22" ht="16.5" customHeight="1" x14ac:dyDescent="0.25">
      <c r="A31" s="141"/>
      <c r="B31" s="185" t="s">
        <v>2</v>
      </c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7"/>
      <c r="P31" s="35">
        <f>SUM(N16:N29)</f>
        <v>11394019.925252799</v>
      </c>
    </row>
    <row r="32" spans="1:22" ht="16.5" customHeight="1" x14ac:dyDescent="0.25">
      <c r="A32" s="141"/>
      <c r="B32" s="185" t="s">
        <v>3</v>
      </c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7"/>
      <c r="P32" s="35">
        <f>SUM(O16:O29)</f>
        <v>0</v>
      </c>
    </row>
    <row r="33" spans="1:21" ht="16.5" customHeight="1" x14ac:dyDescent="0.25">
      <c r="A33" s="141"/>
      <c r="B33" s="185" t="s">
        <v>346</v>
      </c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7"/>
      <c r="P33" s="35">
        <f>SUM(L16:L29)</f>
        <v>455760.79701011197</v>
      </c>
      <c r="Q33" s="32"/>
      <c r="R33" s="32"/>
    </row>
    <row r="34" spans="1:21" ht="16.5" customHeight="1" x14ac:dyDescent="0.25">
      <c r="A34" s="141"/>
      <c r="B34" s="166" t="s">
        <v>12</v>
      </c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  <c r="O34" s="168"/>
      <c r="P34" s="34">
        <f>SUM(P30:P33)</f>
        <v>12264577.522262912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71" t="s">
        <v>0</v>
      </c>
      <c r="C38" s="171"/>
      <c r="D38" s="171"/>
      <c r="E38" s="171"/>
      <c r="F38" s="173" t="s">
        <v>337</v>
      </c>
      <c r="G38" s="173"/>
      <c r="H38" s="174"/>
      <c r="I38" s="179" t="s">
        <v>354</v>
      </c>
      <c r="J38" s="180"/>
      <c r="K38" s="169" t="s">
        <v>338</v>
      </c>
      <c r="L38" s="169"/>
      <c r="M38" s="169" t="s">
        <v>339</v>
      </c>
      <c r="N38" s="169"/>
      <c r="O38" s="158"/>
      <c r="P38" s="164"/>
      <c r="Q38" s="147"/>
      <c r="R38" s="147"/>
      <c r="S38" s="22"/>
      <c r="T38" s="22"/>
      <c r="U38" s="22"/>
    </row>
    <row r="39" spans="1:21" ht="16.5" customHeight="1" x14ac:dyDescent="0.25">
      <c r="A39" s="23">
        <v>1</v>
      </c>
      <c r="B39" s="172" t="s">
        <v>319</v>
      </c>
      <c r="C39" s="172"/>
      <c r="D39" s="172"/>
      <c r="E39" s="172"/>
      <c r="F39" s="175">
        <f>P33+P30</f>
        <v>870557.5970101119</v>
      </c>
      <c r="G39" s="175"/>
      <c r="H39" s="176"/>
      <c r="I39" s="181">
        <f>VLOOKUP(H9,O39:P46,2,)</f>
        <v>1.0956003766002589</v>
      </c>
      <c r="J39" s="182"/>
      <c r="K39" s="170">
        <f>F39*$I$39</f>
        <v>953783.23113649501</v>
      </c>
      <c r="L39" s="170"/>
      <c r="M39" s="170">
        <f>K39*1.2</f>
        <v>1144539.877363794</v>
      </c>
      <c r="N39" s="170"/>
      <c r="O39" s="145" t="s">
        <v>74</v>
      </c>
      <c r="P39" s="146">
        <v>1.147</v>
      </c>
      <c r="Q39" s="148"/>
      <c r="R39" s="148"/>
      <c r="S39" s="22"/>
      <c r="T39" s="22"/>
      <c r="U39" s="22"/>
    </row>
    <row r="40" spans="1:21" ht="16.5" customHeight="1" x14ac:dyDescent="0.25">
      <c r="A40" s="23">
        <v>2</v>
      </c>
      <c r="B40" s="172" t="s">
        <v>2</v>
      </c>
      <c r="C40" s="172"/>
      <c r="D40" s="172"/>
      <c r="E40" s="172"/>
      <c r="F40" s="177">
        <f>P31</f>
        <v>11394019.925252799</v>
      </c>
      <c r="G40" s="177"/>
      <c r="H40" s="178"/>
      <c r="I40" s="183"/>
      <c r="J40" s="184"/>
      <c r="K40" s="170">
        <f t="shared" ref="K40:K41" si="11">F40*$I$39</f>
        <v>12483292.52109782</v>
      </c>
      <c r="L40" s="170"/>
      <c r="M40" s="170">
        <f>K40*1.2</f>
        <v>14979951.025317384</v>
      </c>
      <c r="N40" s="170"/>
      <c r="O40" s="145" t="s">
        <v>75</v>
      </c>
      <c r="P40" s="146">
        <v>1.06968874824043</v>
      </c>
      <c r="Q40" s="148"/>
      <c r="R40" s="148"/>
      <c r="S40" s="22"/>
      <c r="T40" s="22"/>
      <c r="U40" s="22"/>
    </row>
    <row r="41" spans="1:21" ht="16.5" customHeight="1" x14ac:dyDescent="0.25">
      <c r="A41" s="23">
        <v>3</v>
      </c>
      <c r="B41" s="172" t="s">
        <v>3</v>
      </c>
      <c r="C41" s="172"/>
      <c r="D41" s="172"/>
      <c r="E41" s="172"/>
      <c r="F41" s="177">
        <f>P32</f>
        <v>0</v>
      </c>
      <c r="G41" s="177"/>
      <c r="H41" s="178"/>
      <c r="I41" s="183"/>
      <c r="J41" s="184"/>
      <c r="K41" s="170">
        <f t="shared" si="11"/>
        <v>0</v>
      </c>
      <c r="L41" s="170"/>
      <c r="M41" s="170">
        <f t="shared" ref="M41" si="12">K41*1.2</f>
        <v>0</v>
      </c>
      <c r="N41" s="170"/>
      <c r="O41" s="145" t="s">
        <v>76</v>
      </c>
      <c r="P41" s="146">
        <v>1.0527260918901</v>
      </c>
      <c r="Q41" s="148"/>
      <c r="R41" s="148"/>
      <c r="S41" s="22"/>
      <c r="T41" s="22"/>
      <c r="U41" s="22"/>
    </row>
    <row r="42" spans="1:21" ht="16.5" customHeight="1" x14ac:dyDescent="0.25">
      <c r="A42" s="23">
        <v>4</v>
      </c>
      <c r="B42" s="172" t="s">
        <v>4</v>
      </c>
      <c r="C42" s="172"/>
      <c r="D42" s="172"/>
      <c r="E42" s="172"/>
      <c r="F42" s="177"/>
      <c r="G42" s="177"/>
      <c r="H42" s="178"/>
      <c r="I42" s="183"/>
      <c r="J42" s="184"/>
      <c r="K42" s="197">
        <f>SUM(F43:H45)*$I$39</f>
        <v>2759975.3595089279</v>
      </c>
      <c r="L42" s="198"/>
      <c r="M42" s="197">
        <f>K42*1.2</f>
        <v>3311970.4314107136</v>
      </c>
      <c r="N42" s="198"/>
      <c r="O42" s="145" t="s">
        <v>77</v>
      </c>
      <c r="P42" s="146">
        <v>1.04761984318213</v>
      </c>
      <c r="Q42" s="148"/>
      <c r="R42" s="148"/>
      <c r="S42" s="22"/>
      <c r="T42" s="22"/>
      <c r="U42" s="22"/>
    </row>
    <row r="43" spans="1:21" ht="15.75" customHeight="1" x14ac:dyDescent="0.25">
      <c r="A43" s="137" t="s">
        <v>78</v>
      </c>
      <c r="B43" s="203" t="s">
        <v>356</v>
      </c>
      <c r="C43" s="203"/>
      <c r="D43" s="203"/>
      <c r="E43" s="203"/>
      <c r="F43" s="201">
        <f>SUM(F39:H41)/100*P49</f>
        <v>262461.95897642628</v>
      </c>
      <c r="G43" s="201"/>
      <c r="H43" s="202"/>
      <c r="I43" s="183"/>
      <c r="J43" s="184"/>
      <c r="K43" s="199"/>
      <c r="L43" s="200"/>
      <c r="M43" s="199"/>
      <c r="N43" s="200"/>
      <c r="O43" s="159" t="s">
        <v>359</v>
      </c>
      <c r="P43" s="146">
        <f>1.0457995653007*P42</f>
        <v>1.0956003766002589</v>
      </c>
      <c r="Q43" s="148"/>
      <c r="R43" s="156"/>
      <c r="S43" s="22"/>
      <c r="T43" s="22"/>
      <c r="U43" s="22"/>
    </row>
    <row r="44" spans="1:21" ht="15.75" customHeight="1" x14ac:dyDescent="0.25">
      <c r="A44" s="137" t="s">
        <v>79</v>
      </c>
      <c r="B44" s="203" t="s">
        <v>358</v>
      </c>
      <c r="C44" s="203"/>
      <c r="D44" s="203"/>
      <c r="E44" s="203"/>
      <c r="F44" s="201">
        <f>SUM(F39:H41)/100*P50</f>
        <v>1434955.5701047604</v>
      </c>
      <c r="G44" s="201"/>
      <c r="H44" s="202"/>
      <c r="I44" s="183"/>
      <c r="J44" s="184"/>
      <c r="K44" s="199"/>
      <c r="L44" s="200"/>
      <c r="M44" s="199"/>
      <c r="N44" s="200"/>
      <c r="O44" s="159" t="s">
        <v>360</v>
      </c>
      <c r="P44" s="146">
        <f>1.0457995653007*P43</f>
        <v>1.1457783975918339</v>
      </c>
      <c r="Q44" s="148"/>
      <c r="R44" s="156"/>
      <c r="S44" s="22"/>
      <c r="T44" s="22"/>
      <c r="U44" s="22"/>
    </row>
    <row r="45" spans="1:21" ht="15.75" customHeight="1" x14ac:dyDescent="0.25">
      <c r="A45" s="137" t="s">
        <v>80</v>
      </c>
      <c r="B45" s="204" t="s">
        <v>357</v>
      </c>
      <c r="C45" s="204"/>
      <c r="D45" s="204"/>
      <c r="E45" s="204"/>
      <c r="F45" s="201">
        <f>SUM(F39:H41)/100*P51</f>
        <v>821726.69399161497</v>
      </c>
      <c r="G45" s="201"/>
      <c r="H45" s="202"/>
      <c r="I45" s="183"/>
      <c r="J45" s="184"/>
      <c r="K45" s="199"/>
      <c r="L45" s="200"/>
      <c r="M45" s="199"/>
      <c r="N45" s="200"/>
      <c r="O45" s="159" t="s">
        <v>361</v>
      </c>
      <c r="P45" s="146">
        <f>1.0457995653007*P44</f>
        <v>1.1982545501324724</v>
      </c>
      <c r="Q45" s="148"/>
      <c r="R45" s="156"/>
      <c r="S45" s="22"/>
      <c r="T45" s="22"/>
      <c r="U45" s="22"/>
    </row>
    <row r="46" spans="1:21" ht="14.25" customHeight="1" x14ac:dyDescent="0.25">
      <c r="A46" s="205" t="s">
        <v>81</v>
      </c>
      <c r="B46" s="205"/>
      <c r="C46" s="205"/>
      <c r="D46" s="205"/>
      <c r="E46" s="205"/>
      <c r="F46" s="196">
        <f>SUM(F39:H45)</f>
        <v>14783721.745335713</v>
      </c>
      <c r="G46" s="196"/>
      <c r="H46" s="196"/>
      <c r="I46" s="196"/>
      <c r="J46" s="196"/>
      <c r="K46" s="195">
        <f>SUM(K39:L45)</f>
        <v>16197051.111743243</v>
      </c>
      <c r="L46" s="195"/>
      <c r="M46" s="195">
        <f>SUM(M39:N45)</f>
        <v>19436461.334091891</v>
      </c>
      <c r="N46" s="195"/>
      <c r="O46" s="159" t="s">
        <v>362</v>
      </c>
      <c r="P46" s="146">
        <f>1.0457995653007*P45</f>
        <v>1.2531340876481254</v>
      </c>
      <c r="Q46" s="149"/>
      <c r="R46" s="157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9"/>
      <c r="P47" s="160"/>
      <c r="Q47" s="150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9"/>
      <c r="P48" s="161"/>
      <c r="Q48" s="151"/>
      <c r="R48" s="55"/>
      <c r="S48" s="46"/>
      <c r="T48" s="47"/>
      <c r="U48" s="56"/>
    </row>
    <row r="49" spans="1:21" s="26" customFormat="1" ht="39.75" customHeight="1" x14ac:dyDescent="0.25">
      <c r="A49" s="64"/>
      <c r="B49" s="194" t="s">
        <v>342</v>
      </c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59"/>
      <c r="P49" s="152">
        <v>2.14</v>
      </c>
      <c r="Q49" s="151"/>
      <c r="R49" s="55"/>
      <c r="S49" s="46"/>
      <c r="T49" s="47"/>
      <c r="U49" s="56"/>
    </row>
    <row r="50" spans="1:21" s="26" customFormat="1" ht="28.5" customHeight="1" x14ac:dyDescent="0.25">
      <c r="A50" s="64"/>
      <c r="B50" s="194" t="s">
        <v>345</v>
      </c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59"/>
      <c r="P50" s="152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3" t="s">
        <v>343</v>
      </c>
      <c r="C51" s="193"/>
      <c r="D51" s="193"/>
      <c r="E51" s="193"/>
      <c r="F51" s="193"/>
      <c r="G51" s="193"/>
      <c r="H51" s="193"/>
      <c r="I51" s="193"/>
      <c r="J51" s="193"/>
      <c r="K51" s="193"/>
      <c r="L51" s="193"/>
      <c r="M51" s="193"/>
      <c r="N51" s="193"/>
      <c r="O51" s="159"/>
      <c r="P51" s="153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3" t="s">
        <v>344</v>
      </c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63"/>
      <c r="P52" s="161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  <c r="N53" s="193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="110" zoomScaleNormal="100" zoomScaleSheetLayoutView="110" workbookViewId="0">
      <pane ySplit="1" topLeftCell="A2" activePane="bottomLeft" state="frozen"/>
      <selection pane="bottomLeft" activeCell="T307" sqref="T307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hidden="1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hidden="1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hidden="1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hidden="1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hidden="1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hidden="1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hidden="1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hidden="1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hidden="1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hidden="1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hidden="1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hidden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hidden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hidden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hidden="1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hidden="1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hidden="1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hidden="1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hidden="1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hidden="1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hidden="1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hidden="1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hidden="1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hidden="1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hidden="1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idden="1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hidden="1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hidden="1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hidden="1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hidden="1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hidden="1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idden="1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hidden="1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hidden="1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hidden="1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hidden="1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hidden="1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Разъединитель РЛК"/>
        <filter val="Разъединитель РЛНД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2024-01-10T06:45:17Z</dcterms:modified>
</cp:coreProperties>
</file>