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ажина_АЕ\23 05 00006\"/>
    </mc:Choice>
  </mc:AlternateContent>
  <xr:revisionPtr revIDLastSave="0" documentId="13_ncr:1_{6AB189DB-3BBA-438C-89F4-B5EE5E10739D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P43" i="4" l="1"/>
  <c r="P44" i="4"/>
  <c r="P45" i="4"/>
  <c r="P46" i="4"/>
  <c r="I39" i="4" l="1"/>
  <c r="M19" i="4" l="1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C88" i="5"/>
  <c r="L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I292" i="5" l="1"/>
  <c r="I54" i="5"/>
  <c r="J54" i="5" s="1"/>
  <c r="P4" i="5"/>
  <c r="I4" i="5" s="1"/>
  <c r="J4" i="5" s="1"/>
  <c r="C122" i="5"/>
  <c r="L122" i="5" s="1"/>
  <c r="C183" i="5"/>
  <c r="L183" i="5" s="1"/>
  <c r="I183" i="5" s="1"/>
  <c r="J183" i="5" s="1"/>
  <c r="C115" i="5"/>
  <c r="L115" i="5" s="1"/>
  <c r="I115" i="5" s="1"/>
  <c r="J115" i="5" s="1"/>
  <c r="P145" i="5"/>
  <c r="P159" i="5"/>
  <c r="P186" i="5"/>
  <c r="I186" i="5" s="1"/>
  <c r="J186" i="5" s="1"/>
  <c r="C104" i="5"/>
  <c r="L104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3" i="5"/>
  <c r="L3" i="5" s="1"/>
  <c r="I3" i="5" s="1"/>
  <c r="J3" i="5" s="1"/>
  <c r="C83" i="5"/>
  <c r="L83" i="5" s="1"/>
  <c r="I83" i="5" s="1"/>
  <c r="J83" i="5" s="1"/>
  <c r="P95" i="5"/>
  <c r="C174" i="5"/>
  <c r="L174" i="5" s="1"/>
  <c r="I174" i="5" s="1"/>
  <c r="J174" i="5" s="1"/>
  <c r="P177" i="5"/>
  <c r="I177" i="5" s="1"/>
  <c r="J177" i="5" s="1"/>
  <c r="C80" i="5"/>
  <c r="L80" i="5" s="1"/>
  <c r="C85" i="5"/>
  <c r="L85" i="5" s="1"/>
  <c r="I85" i="5" s="1"/>
  <c r="J85" i="5" s="1"/>
  <c r="C112" i="5"/>
  <c r="L112" i="5" s="1"/>
  <c r="I112" i="5" s="1"/>
  <c r="J112" i="5" s="1"/>
  <c r="C111" i="5"/>
  <c r="L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P108" i="5"/>
  <c r="I108" i="5" s="1"/>
  <c r="J108" i="5" s="1"/>
  <c r="C119" i="5"/>
  <c r="L119" i="5" s="1"/>
  <c r="I119" i="5" s="1"/>
  <c r="J119" i="5" s="1"/>
  <c r="P139" i="5"/>
  <c r="P156" i="5"/>
  <c r="I156" i="5" s="1"/>
  <c r="J156" i="5" s="1"/>
  <c r="C182" i="5"/>
  <c r="L182" i="5" s="1"/>
  <c r="I182" i="5" s="1"/>
  <c r="J182" i="5" s="1"/>
  <c r="C124" i="5"/>
  <c r="L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C100" i="5"/>
  <c r="L100" i="5" s="1"/>
  <c r="I100" i="5" s="1"/>
  <c r="J100" i="5" s="1"/>
  <c r="P166" i="5"/>
  <c r="I166" i="5" s="1"/>
  <c r="J166" i="5" s="1"/>
  <c r="P10" i="5"/>
  <c r="P127" i="5"/>
  <c r="I127" i="5" s="1"/>
  <c r="J127" i="5" s="1"/>
  <c r="P140" i="5"/>
  <c r="I140" i="5" s="1"/>
  <c r="J140" i="5" s="1"/>
  <c r="C84" i="5"/>
  <c r="L84" i="5" s="1"/>
  <c r="C87" i="5"/>
  <c r="L87" i="5" s="1"/>
  <c r="I87" i="5" s="1"/>
  <c r="J87" i="5" s="1"/>
  <c r="P97" i="5"/>
  <c r="I97" i="5" s="1"/>
  <c r="J97" i="5" s="1"/>
  <c r="P144" i="5"/>
  <c r="P147" i="5"/>
  <c r="I147" i="5" s="1"/>
  <c r="J147" i="5" s="1"/>
  <c r="P150" i="5"/>
  <c r="I150" i="5" s="1"/>
  <c r="J150" i="5" s="1"/>
  <c r="C154" i="5"/>
  <c r="L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23" i="5"/>
  <c r="J12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124" i="5"/>
  <c r="J12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10" i="5"/>
  <c r="J10" i="5" s="1"/>
  <c r="I29" i="5"/>
  <c r="J29" i="5" s="1"/>
  <c r="I43" i="5"/>
  <c r="J43" i="5" s="1"/>
  <c r="I51" i="5"/>
  <c r="J51" i="5" s="1"/>
  <c r="I116" i="5"/>
  <c r="J116" i="5" s="1"/>
  <c r="I138" i="5"/>
  <c r="J138" i="5" s="1"/>
  <c r="I139" i="5"/>
  <c r="J139" i="5" s="1"/>
  <c r="I152" i="5"/>
  <c r="J152" i="5" s="1"/>
  <c r="I173" i="5"/>
  <c r="J173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44" i="5"/>
  <c r="J144" i="5" s="1"/>
  <c r="I145" i="5"/>
  <c r="J145" i="5" s="1"/>
  <c r="I148" i="5"/>
  <c r="J148" i="5" s="1"/>
  <c r="I159" i="5"/>
  <c r="J159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89" i="5"/>
  <c r="J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6" i="5"/>
  <c r="J106" i="5" s="1"/>
  <c r="I110" i="5"/>
  <c r="J110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17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5" i="4" l="1"/>
  <c r="F44" i="4"/>
  <c r="F43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<sst xmlns="http://schemas.openxmlformats.org/spreadsheetml/2006/main" count="404" uniqueCount="365">
  <si>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</si>
  <si>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</si>
  <si>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</si>
  <si>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</si>
  <si>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</si>
  <si>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</si>
  <si>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</si>
  <si>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</si>
  <si>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</si>
  <si>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</si>
  <si>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</si>
  <si>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</si>
  <si>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</si>
  <si>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</si>
  <si>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</si>
  <si>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</si>
  <si>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</si>
  <si>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</si>
  <si>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</si>
  <si>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</si>
  <si>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</si>
  <si>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</si>
  <si>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</si>
  <si>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</si>
  <si>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</si>
  <si>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</si>
  <si>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</si>
  <si>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</si>
  <si>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</si>
  <si>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</si>
  <si>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</si>
  <si>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</si>
  <si>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</si>
  <si>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</si>
  <si>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</si>
  <si>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</si>
  <si>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</si>
  <si>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</si>
  <si>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</si>
  <si>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</si>
  <si>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</si>
  <si>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</si>
  <si>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</si>
  <si>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</si>
  <si>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</si>
  <si>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</si>
  <si>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</si>
  <si>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</si>
  <si>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</si>
  <si>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</si>
  <si>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</si>
  <si>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</si>
  <si>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</si>
  <si>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</si>
  <si>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</si>
  <si>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</si>
  <si>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</si>
  <si>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</si>
  <si>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</si>
  <si>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</si>
  <si>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</si>
  <si>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</si>
  <si>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</si>
  <si>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</si>
  <si>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</si>
  <si>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</si>
  <si>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</si>
  <si>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</si>
  <si>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</si>
  <si>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</si>
  <si>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</si>
  <si>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</si>
  <si>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</si>
  <si>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</si>
  <si>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</si>
  <si>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</si>
  <si>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</si>
  <si>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</si>
  <si>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</si>
  <si>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</si>
  <si>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</si>
  <si>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</si>
  <si>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</si>
  <si>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</si>
  <si>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</si>
  <si>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</si>
  <si>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</si>
  <si>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</si>
  <si>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</si>
  <si>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</si>
  <si>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</si>
  <si>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</si>
  <si>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</si>
  <si>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</si>
  <si>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</si>
  <si>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</si>
  <si>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</si>
  <si>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</si>
  <si>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</si>
  <si>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</si>
  <si>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</si>
  <si>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</si>
  <si>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</si>
  <si>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</si>
  <si>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</si>
  <si>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</si>
  <si>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</si>
  <si>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</si>
  <si>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</si>
  <si>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</si>
  <si>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</si>
  <si>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</si>
  <si>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</si>
  <si>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</si>
  <si>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</si>
  <si>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</si>
  <si>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</si>
  <si>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</si>
  <si>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</si>
  <si>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</si>
  <si>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</si>
  <si>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</si>
  <si>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</si>
  <si>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</si>
  <si>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</si>
  <si>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</si>
  <si>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</si>
  <si>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</si>
  <si>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</si>
  <si>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</si>
  <si>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</si>
  <si>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</si>
  <si>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</si>
  <si>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</si>
  <si>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</si>
  <si>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</si>
  <si>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</si>
  <si>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</si>
  <si>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</si>
  <si>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</si>
  <si>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</si>
  <si>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</si>
  <si>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</si>
  <si>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</si>
  <si>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</si>
  <si>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</si>
  <si>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</si>
  <si>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</si>
  <si>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</si>
  <si>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</si>
  <si>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</si>
  <si>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</si>
  <si>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</si>
  <si>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</si>
  <si>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</si>
  <si>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</si>
  <si>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</si>
  <si>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</si>
  <si>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</si>
  <si>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</si>
  <si>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</si>
  <si>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</si>
  <si>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</si>
  <si>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</si>
  <si>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</si>
  <si>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</si>
  <si>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</si>
  <si>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</si>
  <si>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</si>
  <si>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</si>
  <si>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</si>
  <si>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</si>
  <si>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</si>
  <si>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</si>
  <si>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</si>
  <si>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</si>
  <si>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</si>
  <si>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</si>
  <si>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</si>
  <si>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</si>
  <si>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</si>
  <si>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</si>
  <si>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</si>
  <si>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</si>
  <si>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</si>
  <si>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</si>
  <si>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</si>
  <si>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</si>
  <si>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</si>
  <si>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</si>
  <si>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</si>
  <si>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</si>
  <si>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</si>
  <si>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</si>
  <si>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</si>
  <si>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</si>
  <si>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</si>
  <si>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</si>
  <si>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</si>
  <si>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</si>
  <si>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</si>
  <si>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</si>
  <si>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</si>
  <si>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</si>
  <si>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</si>
  <si>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</si>
  <si>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</si>
  <si>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</si>
  <si>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</si>
  <si>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</si>
  <si>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</si>
  <si>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</si>
  <si>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</si>
  <si>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</si>
  <si>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</si>
  <si>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</si>
  <si>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</si>
  <si>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</si>
  <si>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</si>
  <si>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</si>
  <si>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</si>
  <si>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</si>
  <si>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</si>
  <si>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</si>
  <si>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</si>
  <si>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</si>
  <si>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</si>
  <si>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</si>
  <si>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</si>
  <si>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</si>
  <si>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</si>
  <si>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</si>
  <si>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</si>
  <si>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</si>
  <si>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</si>
  <si>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</si>
  <si>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</si>
  <si>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</si>
  <si>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</si>
  <si>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</si>
  <si>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</si>
  <si>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</si>
  <si>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</si>
  <si>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</si>
  <si>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</si>
  <si>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</si>
  <si>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</si>
  <si>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</si>
  <si>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</si>
  <si>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</si>
  <si>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</si>
  <si>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</si>
  <si>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</si>
  <si>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</si>
  <si>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</si>
  <si>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</si>
  <si>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</si>
  <si>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</si>
  <si>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</si>
  <si>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</si>
  <si>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</si>
  <si>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</si>
  <si>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</si>
  <si>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</si>
  <si>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</si>
  <si>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</si>
  <si>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</si>
  <si>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</si>
  <si>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</si>
  <si>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</si>
  <si>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</si>
  <si>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</si>
  <si>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</si>
  <si>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</si>
  <si>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</si>
  <si>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</si>
  <si>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</si>
  <si>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</si>
  <si>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</si>
  <si>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</si>
  <si>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</si>
  <si>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</si>
  <si>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</si>
  <si>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</si>
  <si>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</si>
  <si>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</si>
  <si>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</si>
  <si>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</si>
  <si>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</si>
  <si>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</si>
  <si>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</si>
  <si>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</si>
  <si>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</si>
  <si>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</si>
  <si>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</si>
  <si>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</si>
  <si>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</si>
  <si>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</si>
  <si>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</si>
  <si>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</si>
  <si>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</si>
  <si>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</si>
  <si>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</si>
  <si>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</si>
  <si>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</si>
  <si>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</si>
  <si>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</si>
  <si>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</si>
  <si>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</si>
  <si>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</si>
  <si>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</si>
  <si>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</si>
  <si>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</si>
  <si>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</si>
  <si>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</si>
  <si>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</si>
  <si>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</si>
  <si>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</si>
  <si>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</si>
  <si>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</si>
  <si>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</si>
  <si>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</si>
  <si>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</si>
  <si>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</si>
  <si>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</si>
  <si>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</si>
  <si>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</si>
  <si>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</si>
  <si>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</si>
  <si>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</si>
  <si>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</si>
  <si>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</si>
  <si>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</si>
  <si>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</si>
  <si>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</si>
  <si>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</si>
  <si>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</si>
  <si>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</si>
  <si>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</si>
  <si>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</si>
  <si>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</si>
  <si>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</si>
  <si>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</si>
  <si>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</si>
  <si>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</si>
  <si>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</si>
  <si>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</si>
  <si>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</si>
  <si>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</si>
  <si>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</si>
  <si>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</si>
  <si>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</si>
  <si>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</si>
  <si>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</si>
  <si>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</si>
  <si>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</si>
  <si>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</si>
  <si>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</si>
  <si>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</si>
  <si>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</si>
  <si>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га</t>
  </si>
  <si>
    <t>1</t>
  </si>
  <si>
    <t>2</t>
  </si>
  <si>
    <t>3</t>
  </si>
  <si>
    <t>Реконструкция ВЛ-10 кВ ф.159-11 от отпайки на ТП 257 до Р-23 в части замены опор и провода протяженностью 2,6 км в г. Выборг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</si>
</sst>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H9" sqref="H9:K9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7" t="s">
        <v>364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192"/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359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355</v>
      </c>
    </row>
    <row r="13" spans="1:22" s="4" customFormat="1" ht="39" customHeight="1" x14ac:dyDescent="0.25">
      <c r="A13" s="189" t="s">
        <v>6</v>
      </c>
      <c r="B13" s="189" t="s">
        <v>9</v>
      </c>
      <c r="C13" s="189" t="s">
        <v>334</v>
      </c>
      <c r="D13" s="189" t="s">
        <v>349</v>
      </c>
      <c r="E13" s="189"/>
      <c r="F13" s="189"/>
      <c r="G13" s="189"/>
      <c r="H13" s="189" t="s">
        <v>335</v>
      </c>
      <c r="I13" s="189" t="s">
        <v>348</v>
      </c>
      <c r="J13" s="189" t="s">
        <v>7</v>
      </c>
      <c r="K13" s="19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89"/>
      <c r="B14" s="189"/>
      <c r="C14" s="189"/>
      <c r="D14" s="136" t="s">
        <v>89</v>
      </c>
      <c r="E14" s="136" t="s">
        <v>91</v>
      </c>
      <c r="F14" s="136" t="s">
        <v>93</v>
      </c>
      <c r="G14" s="136" t="s">
        <v>318</v>
      </c>
      <c r="H14" s="189"/>
      <c r="I14" s="189"/>
      <c r="J14" s="189"/>
      <c r="K14" s="190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361</v>
      </c>
      <c r="B16" s="40" t="s">
        <v>19</v>
      </c>
      <c r="C16" s="37">
        <f>VLOOKUP($B$16:$B$29,'Наименование работ'!B:G,6,)</f>
        <v>439881.26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4131790.5333999991</v>
      </c>
      <c r="I16" s="36">
        <f>VLOOKUP($B$16:$B$29,'Наименование работ'!B:R,17,)</f>
        <v>0</v>
      </c>
      <c r="J16" s="38" t="s">
        <v>353</v>
      </c>
      <c r="K16" s="157">
        <v>2.6</v>
      </c>
      <c r="L16" s="33">
        <f>(N16+O16)*0.04</f>
        <v>429706.21547359996</v>
      </c>
      <c r="M16" s="33">
        <f>147300*K16</f>
        <v>382980</v>
      </c>
      <c r="N16" s="34">
        <f>K16*H16</f>
        <v>10742655.386839999</v>
      </c>
      <c r="O16" s="34">
        <f>K16*I16</f>
        <v>0</v>
      </c>
      <c r="P16" s="34">
        <f t="shared" ref="P16" si="0">SUM(L16:O16)</f>
        <v>11555341.602313599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362</v>
      </c>
      <c r="B17" s="40" t="s">
        <v>59</v>
      </c>
      <c r="C17" s="37">
        <f>VLOOKUP($B$16:$B$29,'Наименование работ'!B:G,6,)</f>
        <v>11150.76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102937.0815</v>
      </c>
      <c r="I17" s="36">
        <f>VLOOKUP($B$16:$B$29,'Наименование работ'!B:R,17,)</f>
        <v>0</v>
      </c>
      <c r="J17" s="38" t="s">
        <v>352</v>
      </c>
      <c r="K17" s="157">
        <v>1</v>
      </c>
      <c r="L17" s="33">
        <f>(N17+O17)*0.04</f>
        <v>4117.48326</v>
      </c>
      <c r="M17" s="33">
        <v>0</v>
      </c>
      <c r="N17" s="34">
        <f t="shared" ref="N17:N29" si="1">K17*H17</f>
        <v>102937.0815</v>
      </c>
      <c r="O17" s="34">
        <f t="shared" ref="O17:O29" si="2">K17*I17</f>
        <v>0</v>
      </c>
      <c r="P17" s="34">
        <f t="shared" ref="P17" si="3">SUM(L17:O17)</f>
        <v>107054.56475999999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363</v>
      </c>
      <c r="B18" s="40" t="s">
        <v>314</v>
      </c>
      <c r="C18" s="37">
        <f>VLOOKUP($B$16:$B$29,'Наименование работ'!B:G,6,)</f>
        <v>130851.22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6.68</v>
      </c>
      <c r="F18" s="37">
        <f>VLOOKUP($B$16:$B$29,'Наименование работ'!B:O,14,)</f>
        <v>6.02</v>
      </c>
      <c r="G18" s="37">
        <f>VLOOKUP($B$16:$B$29,'Наименование работ'!B:Q,16,)</f>
        <v>0</v>
      </c>
      <c r="H18" s="36">
        <f>VLOOKUP(B18:B31,'Наименование работ'!B:S,18,)</f>
        <v>1461107.9273000001</v>
      </c>
      <c r="I18" s="36">
        <f>VLOOKUP($B$16:$B$29,'Наименование работ'!B:R,17,)</f>
        <v>0</v>
      </c>
      <c r="J18" s="38" t="s">
        <v>360</v>
      </c>
      <c r="K18" s="157">
        <v>4</v>
      </c>
      <c r="L18" s="33">
        <f t="shared" ref="L18:L29" si="4">(N18+O18)*0.08</f>
        <v>467554.53673600004</v>
      </c>
      <c r="M18" s="33">
        <f>147300</f>
        <v>147300</v>
      </c>
      <c r="N18" s="34">
        <f t="shared" si="1"/>
        <v>5844431.7092000004</v>
      </c>
      <c r="O18" s="34">
        <f t="shared" si="2"/>
        <v>0</v>
      </c>
      <c r="P18" s="34">
        <f t="shared" ref="P18" si="5">SUM(L18:O18)</f>
        <v>6459286.2459360007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352</v>
      </c>
      <c r="K19" s="157">
        <v>0</v>
      </c>
      <c r="L19" s="33">
        <f>(N19+O19)*0.04</f>
        <v>0</v>
      </c>
      <c r="M19" s="33">
        <f t="shared" ref="M19:M29" si="6">147300*K19</f>
        <v>0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7">
        <v>0</v>
      </c>
      <c r="L20" s="33">
        <f>(N20+O20)*0.04</f>
        <v>0</v>
      </c>
      <c r="M20" s="33">
        <f t="shared" si="6"/>
        <v>0</v>
      </c>
      <c r="N20" s="34">
        <f t="shared" si="1"/>
        <v>0</v>
      </c>
      <c r="O20" s="34">
        <f t="shared" si="2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7">
        <v>0</v>
      </c>
      <c r="L21" s="33">
        <f>(N21+O21)*0.04</f>
        <v>0</v>
      </c>
      <c r="M21" s="33">
        <f t="shared" si="6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7">
        <v>0</v>
      </c>
      <c r="L22" s="33">
        <f t="shared" si="4"/>
        <v>0</v>
      </c>
      <c r="M22" s="33">
        <f t="shared" si="6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4"/>
        <v>0</v>
      </c>
      <c r="M23" s="33">
        <f t="shared" si="6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4"/>
        <v>0</v>
      </c>
      <c r="M24" s="33">
        <f t="shared" si="6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4"/>
        <v>0</v>
      </c>
      <c r="M25" s="33">
        <f t="shared" si="6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4"/>
        <v>0</v>
      </c>
      <c r="M26" s="33">
        <f t="shared" si="6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4"/>
        <v>0</v>
      </c>
      <c r="M27" s="33">
        <f t="shared" si="6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6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4"/>
        <v>0</v>
      </c>
      <c r="M29" s="33">
        <f t="shared" si="6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0" t="s">
        <v>317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2"/>
      <c r="P30" s="34">
        <f>SUM(M16:M29)</f>
        <v>530280</v>
      </c>
    </row>
    <row r="31" spans="1:22" ht="16.5" customHeight="1" x14ac:dyDescent="0.25">
      <c r="A31" s="141"/>
      <c r="B31" s="180" t="s">
        <v>2</v>
      </c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2"/>
      <c r="P31" s="35">
        <f>SUM(N16:N29)</f>
        <v>16690024.177539999</v>
      </c>
    </row>
    <row r="32" spans="1:22" ht="16.5" customHeight="1" x14ac:dyDescent="0.25">
      <c r="A32" s="141"/>
      <c r="B32" s="180" t="s">
        <v>3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2"/>
      <c r="P32" s="35">
        <f>SUM(O16:O29)</f>
        <v>0</v>
      </c>
    </row>
    <row r="33" spans="1:21" ht="16.5" customHeight="1" x14ac:dyDescent="0.25">
      <c r="A33" s="141"/>
      <c r="B33" s="180" t="s">
        <v>346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2"/>
      <c r="P33" s="35">
        <f>SUM(L16:L29)</f>
        <v>901378.23546959995</v>
      </c>
      <c r="Q33" s="32"/>
      <c r="R33" s="32"/>
    </row>
    <row r="34" spans="1:21" ht="16.5" customHeight="1" x14ac:dyDescent="0.25">
      <c r="A34" s="141"/>
      <c r="B34" s="194" t="s">
        <v>12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6"/>
      <c r="P34" s="34">
        <f>SUM(P30:P33)</f>
        <v>18121682.413009595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9" t="s">
        <v>0</v>
      </c>
      <c r="C38" s="189"/>
      <c r="D38" s="189"/>
      <c r="E38" s="189"/>
      <c r="F38" s="197" t="s">
        <v>337</v>
      </c>
      <c r="G38" s="197"/>
      <c r="H38" s="198"/>
      <c r="I38" s="201" t="s">
        <v>354</v>
      </c>
      <c r="J38" s="202"/>
      <c r="K38" s="190" t="s">
        <v>338</v>
      </c>
      <c r="L38" s="190"/>
      <c r="M38" s="190" t="s">
        <v>339</v>
      </c>
      <c r="N38" s="190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68" t="s">
        <v>319</v>
      </c>
      <c r="C39" s="168"/>
      <c r="D39" s="168"/>
      <c r="E39" s="168"/>
      <c r="F39" s="199">
        <f>P33+P30</f>
        <v>1431658.2354696</v>
      </c>
      <c r="G39" s="199"/>
      <c r="H39" s="200"/>
      <c r="I39" s="203">
        <f>VLOOKUP(H9,O39:P43,2,)</f>
        <v>1.0956003766002589</v>
      </c>
      <c r="J39" s="204"/>
      <c r="K39" s="185">
        <f>F39*$I$39</f>
        <v>1568525.3019433557</v>
      </c>
      <c r="L39" s="185"/>
      <c r="M39" s="185">
        <f>K39*1.2</f>
        <v>1882230.3623320267</v>
      </c>
      <c r="N39" s="185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68" t="s">
        <v>2</v>
      </c>
      <c r="C40" s="168"/>
      <c r="D40" s="168"/>
      <c r="E40" s="168"/>
      <c r="F40" s="183">
        <f>P31</f>
        <v>16690024.177539999</v>
      </c>
      <c r="G40" s="183"/>
      <c r="H40" s="184"/>
      <c r="I40" s="205"/>
      <c r="J40" s="206"/>
      <c r="K40" s="185">
        <f t="shared" ref="K40:K41" si="11">F40*$I$39</f>
        <v>18285596.774380248</v>
      </c>
      <c r="L40" s="185"/>
      <c r="M40" s="185">
        <f>K40*1.2</f>
        <v>21942716.129256297</v>
      </c>
      <c r="N40" s="185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68" t="s">
        <v>3</v>
      </c>
      <c r="C41" s="168"/>
      <c r="D41" s="168"/>
      <c r="E41" s="168"/>
      <c r="F41" s="183">
        <f>P32</f>
        <v>0</v>
      </c>
      <c r="G41" s="183"/>
      <c r="H41" s="184"/>
      <c r="I41" s="205"/>
      <c r="J41" s="206"/>
      <c r="K41" s="185">
        <f t="shared" si="11"/>
        <v>0</v>
      </c>
      <c r="L41" s="185"/>
      <c r="M41" s="185">
        <f t="shared" ref="M41" si="12">K41*1.2</f>
        <v>0</v>
      </c>
      <c r="N41" s="185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68" t="s">
        <v>4</v>
      </c>
      <c r="C42" s="168"/>
      <c r="D42" s="168"/>
      <c r="E42" s="168"/>
      <c r="F42" s="183"/>
      <c r="G42" s="183"/>
      <c r="H42" s="184"/>
      <c r="I42" s="205"/>
      <c r="J42" s="206"/>
      <c r="K42" s="169">
        <f>SUM(F43:H45)*$I$39</f>
        <v>4078036.674476868</v>
      </c>
      <c r="L42" s="170"/>
      <c r="M42" s="169">
        <f>K42*1.2</f>
        <v>4893644.0093722418</v>
      </c>
      <c r="N42" s="170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175" t="s">
        <v>356</v>
      </c>
      <c r="C43" s="175"/>
      <c r="D43" s="175"/>
      <c r="E43" s="175"/>
      <c r="F43" s="173">
        <f>SUM(F39:H41)/100*P49</f>
        <v>387804.00363840541</v>
      </c>
      <c r="G43" s="173"/>
      <c r="H43" s="174"/>
      <c r="I43" s="205"/>
      <c r="J43" s="206"/>
      <c r="K43" s="171"/>
      <c r="L43" s="172"/>
      <c r="M43" s="171"/>
      <c r="N43" s="172"/>
      <c r="O43" s="162" t="s">
        <v>359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175" t="s">
        <v>358</v>
      </c>
      <c r="C44" s="175"/>
      <c r="D44" s="175"/>
      <c r="E44" s="175"/>
      <c r="F44" s="173">
        <f>SUM(F39:H41)/100*P50</f>
        <v>2120236.8423221228</v>
      </c>
      <c r="G44" s="173"/>
      <c r="H44" s="174"/>
      <c r="I44" s="205"/>
      <c r="J44" s="206"/>
      <c r="K44" s="171"/>
      <c r="L44" s="172"/>
      <c r="M44" s="171"/>
      <c r="N44" s="172"/>
      <c r="O44" s="154"/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176" t="s">
        <v>357</v>
      </c>
      <c r="C45" s="176"/>
      <c r="D45" s="176"/>
      <c r="E45" s="176"/>
      <c r="F45" s="173">
        <f>SUM(F39:H41)/100*P51</f>
        <v>1214152.7216716432</v>
      </c>
      <c r="G45" s="173"/>
      <c r="H45" s="174"/>
      <c r="I45" s="205"/>
      <c r="J45" s="206"/>
      <c r="K45" s="171"/>
      <c r="L45" s="172"/>
      <c r="M45" s="171"/>
      <c r="N45" s="172"/>
      <c r="O45" s="154"/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177" t="s">
        <v>81</v>
      </c>
      <c r="B46" s="177"/>
      <c r="C46" s="177"/>
      <c r="D46" s="177"/>
      <c r="E46" s="177"/>
      <c r="F46" s="167">
        <f>SUM(F39:H45)</f>
        <v>21843875.980641771</v>
      </c>
      <c r="G46" s="167"/>
      <c r="H46" s="167"/>
      <c r="I46" s="167"/>
      <c r="J46" s="167"/>
      <c r="K46" s="166">
        <f>SUM(K39:L45)</f>
        <v>23932158.750800472</v>
      </c>
      <c r="L46" s="166"/>
      <c r="M46" s="166">
        <f>SUM(M39:N45)</f>
        <v>28718590.500960566</v>
      </c>
      <c r="N46" s="166"/>
      <c r="O46" s="162"/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79" t="s">
        <v>342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47"/>
      <c r="P49" s="164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79" t="s">
        <v>345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52"/>
      <c r="P50" s="165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8" t="s">
        <v>343</v>
      </c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52"/>
      <c r="P51" s="165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8" t="s">
        <v>344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03" activePane="bottomLeft" state="frozen"/>
      <selection pane="bottomLeft" activeCell="B210" sqref="B210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Сажина Александра Евгеньевна</cp:lastModifiedBy>
  <cp:lastPrinted>2022-10-17T11:16:39Z</cp:lastPrinted>
  <dcterms:created xsi:type="dcterms:W3CDTF">2021-07-06T05:30:42Z</dcterms:created>
  <dcterms:modified xsi:type="dcterms:W3CDTF">2023-12-28T13:52:04Z</dcterms:modified>
</cp:coreProperties>
</file>