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Алферова_ИС\2306-00004\"/>
    </mc:Choice>
  </mc:AlternateContent>
  <xr:revisionPtr revIDLastSave="0" documentId="13_ncr:1_{890BDCA4-708D-462D-B595-2E24705612C3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ИП'!$J$1:$J$54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s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C183" i="5"/>
  <c r="L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C163" i="5"/>
  <c r="L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 s="1"/>
  <c r="L160" i="5" s="1"/>
  <c r="P159" i="5"/>
  <c r="N159" i="5"/>
  <c r="H159" i="5"/>
  <c r="E159" i="5"/>
  <c r="C159" i="5" s="1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C122" i="5"/>
  <c r="L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P118" i="5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C115" i="5"/>
  <c r="L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C107" i="5"/>
  <c r="L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P98" i="5"/>
  <c r="N98" i="5"/>
  <c r="E98" i="5"/>
  <c r="C98" i="5" s="1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C88" i="5"/>
  <c r="L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C82" i="5"/>
  <c r="L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3" i="5"/>
  <c r="L3" i="5" s="1"/>
  <c r="P4" i="5" l="1"/>
  <c r="P120" i="5"/>
  <c r="P158" i="5"/>
  <c r="C8" i="5"/>
  <c r="L8" i="5" s="1"/>
  <c r="I83" i="5"/>
  <c r="J83" i="5" s="1"/>
  <c r="C110" i="5"/>
  <c r="L110" i="5" s="1"/>
  <c r="C174" i="5"/>
  <c r="L174" i="5" s="1"/>
  <c r="P177" i="5"/>
  <c r="C167" i="5"/>
  <c r="L167" i="5" s="1"/>
  <c r="I292" i="5"/>
  <c r="C81" i="5"/>
  <c r="L81" i="5" s="1"/>
  <c r="C104" i="5"/>
  <c r="L104" i="5" s="1"/>
  <c r="I104" i="5" s="1"/>
  <c r="J104" i="5" s="1"/>
  <c r="C152" i="5"/>
  <c r="L152" i="5" s="1"/>
  <c r="P95" i="5"/>
  <c r="C85" i="5"/>
  <c r="L85" i="5" s="1"/>
  <c r="C112" i="5"/>
  <c r="L112" i="5" s="1"/>
  <c r="I54" i="5"/>
  <c r="J54" i="5" s="1"/>
  <c r="C111" i="5"/>
  <c r="L111" i="5" s="1"/>
  <c r="P79" i="5"/>
  <c r="C75" i="5"/>
  <c r="L75" i="5" s="1"/>
  <c r="P78" i="5"/>
  <c r="C102" i="5"/>
  <c r="L102" i="5" s="1"/>
  <c r="C105" i="5"/>
  <c r="L105" i="5" s="1"/>
  <c r="C123" i="5"/>
  <c r="L123" i="5" s="1"/>
  <c r="I123" i="5" s="1"/>
  <c r="J123" i="5" s="1"/>
  <c r="P125" i="5"/>
  <c r="P151" i="5"/>
  <c r="C161" i="5"/>
  <c r="L161" i="5" s="1"/>
  <c r="I161" i="5" s="1"/>
  <c r="J161" i="5" s="1"/>
  <c r="C175" i="5"/>
  <c r="L175" i="5" s="1"/>
  <c r="C184" i="5"/>
  <c r="L184" i="5" s="1"/>
  <c r="I184" i="5" s="1"/>
  <c r="J184" i="5" s="1"/>
  <c r="P9" i="5"/>
  <c r="C99" i="5"/>
  <c r="L99" i="5" s="1"/>
  <c r="C121" i="5"/>
  <c r="L121" i="5" s="1"/>
  <c r="C133" i="5"/>
  <c r="L133" i="5" s="1"/>
  <c r="C169" i="5"/>
  <c r="L169" i="5" s="1"/>
  <c r="C178" i="5"/>
  <c r="L178" i="5" s="1"/>
  <c r="I24" i="5"/>
  <c r="J24" i="5" s="1"/>
  <c r="C76" i="5"/>
  <c r="L76" i="5" s="1"/>
  <c r="C103" i="5"/>
  <c r="L103" i="5" s="1"/>
  <c r="C106" i="5"/>
  <c r="L106" i="5" s="1"/>
  <c r="P108" i="5"/>
  <c r="I108" i="5" s="1"/>
  <c r="J108" i="5" s="1"/>
  <c r="C119" i="5"/>
  <c r="L119" i="5" s="1"/>
  <c r="I119" i="5" s="1"/>
  <c r="J119" i="5" s="1"/>
  <c r="P139" i="5"/>
  <c r="P156" i="5"/>
  <c r="C182" i="5"/>
  <c r="L182" i="5" s="1"/>
  <c r="C124" i="5"/>
  <c r="L124" i="5" s="1"/>
  <c r="I124" i="5" s="1"/>
  <c r="J124" i="5" s="1"/>
  <c r="P146" i="5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P187" i="5"/>
  <c r="I187" i="5" s="1"/>
  <c r="J187" i="5" s="1"/>
  <c r="P5" i="5"/>
  <c r="P96" i="5"/>
  <c r="C100" i="5"/>
  <c r="L100" i="5" s="1"/>
  <c r="P166" i="5"/>
  <c r="P10" i="5"/>
  <c r="I10" i="5" s="1"/>
  <c r="J10" i="5" s="1"/>
  <c r="P127" i="5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P147" i="5"/>
  <c r="I147" i="5" s="1"/>
  <c r="J147" i="5" s="1"/>
  <c r="P150" i="5"/>
  <c r="I150" i="5" s="1"/>
  <c r="J150" i="5" s="1"/>
  <c r="C154" i="5"/>
  <c r="L154" i="5" s="1"/>
  <c r="C180" i="5"/>
  <c r="L180" i="5" s="1"/>
  <c r="P188" i="5"/>
  <c r="P192" i="5"/>
  <c r="I192" i="5" s="1"/>
  <c r="J192" i="5" s="1"/>
  <c r="P195" i="5"/>
  <c r="P94" i="5"/>
  <c r="I14" i="5"/>
  <c r="J14" i="5" s="1"/>
  <c r="I38" i="5"/>
  <c r="J38" i="5" s="1"/>
  <c r="I100" i="5"/>
  <c r="J100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121" i="5"/>
  <c r="J121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163" i="5"/>
  <c r="J163" i="5" s="1"/>
  <c r="I284" i="5"/>
  <c r="J284" i="5" s="1"/>
  <c r="I174" i="5"/>
  <c r="J174" i="5" s="1"/>
  <c r="I30" i="5"/>
  <c r="J30" i="5" s="1"/>
  <c r="I94" i="5"/>
  <c r="J94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175" i="5"/>
  <c r="J175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182" i="5"/>
  <c r="J18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56" i="5"/>
  <c r="J156" i="5" s="1"/>
  <c r="I169" i="5"/>
  <c r="J169" i="5" s="1"/>
  <c r="I180" i="5"/>
  <c r="J180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7" i="5"/>
  <c r="J107" i="5" s="1"/>
  <c r="I160" i="5"/>
  <c r="J160" i="5" s="1"/>
  <c r="I166" i="5"/>
  <c r="J166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39" i="5"/>
  <c r="J139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8" i="5"/>
  <c r="J78" i="5" s="1"/>
  <c r="I79" i="5"/>
  <c r="J79" i="5" s="1"/>
  <c r="I86" i="5"/>
  <c r="J86" i="5" s="1"/>
  <c r="I98" i="5"/>
  <c r="J98" i="5" s="1"/>
  <c r="I99" i="5"/>
  <c r="J99" i="5" s="1"/>
  <c r="I120" i="5"/>
  <c r="J120" i="5" s="1"/>
  <c r="I144" i="5"/>
  <c r="J144" i="5" s="1"/>
  <c r="I145" i="5"/>
  <c r="J145" i="5" s="1"/>
  <c r="I146" i="5"/>
  <c r="J146" i="5" s="1"/>
  <c r="I148" i="5"/>
  <c r="J148" i="5" s="1"/>
  <c r="I149" i="5"/>
  <c r="J149" i="5" s="1"/>
  <c r="I151" i="5"/>
  <c r="J151" i="5" s="1"/>
  <c r="I159" i="5"/>
  <c r="J159" i="5" s="1"/>
  <c r="I185" i="5"/>
  <c r="J185" i="5" s="1"/>
  <c r="I191" i="5"/>
  <c r="J191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I125" i="5"/>
  <c r="J125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106" i="5"/>
  <c r="J106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42" i="4" s="1"/>
  <c r="K39" i="4"/>
  <c r="M42" i="4" l="1"/>
  <c r="M39" i="4"/>
  <c r="F46" i="4" l="1"/>
  <c r="K46" i="4" l="1"/>
  <c r="M46" i="4"/>
</calcChain>
</file>

<file path=xl/sharedStrings.xml><?xml version="1.0" encoding="utf-8"?>
<sst xmlns="http://schemas.openxmlformats.org/spreadsheetml/2006/main" count="407" uniqueCount="367">
  <si>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</si>
  <si>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</si>
  <si>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</si>
  <si>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</si>
  <si>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</si>
  <si>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</si>
  <si>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</si>
  <si>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</si>
  <si>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</si>
  <si>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</si>
  <si>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</si>
  <si>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</si>
  <si>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</si>
  <si>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</si>
  <si>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</si>
  <si>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</si>
  <si>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</si>
  <si>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</si>
  <si>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</si>
  <si>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</si>
  <si>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</si>
  <si>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</si>
  <si>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</si>
  <si>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</si>
  <si>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</si>
  <si>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</si>
  <si>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</si>
  <si>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</si>
  <si>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</si>
  <si>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</si>
  <si>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</si>
  <si>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</si>
  <si>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</si>
  <si>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</si>
  <si>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</si>
  <si>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</si>
  <si>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</si>
  <si>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</si>
  <si>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</si>
  <si>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</si>
  <si>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</si>
  <si>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</si>
  <si>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</si>
  <si>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</si>
  <si>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</si>
  <si>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</si>
  <si>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</si>
  <si>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</si>
  <si>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</si>
  <si>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</si>
  <si>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</si>
  <si>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</si>
  <si>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</si>
  <si>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</si>
  <si>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</si>
  <si>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</si>
  <si>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</si>
  <si>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</si>
  <si>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</si>
  <si>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</si>
  <si>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</si>
  <si>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</si>
  <si>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</si>
  <si>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</si>
  <si>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</si>
  <si>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</si>
  <si>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</si>
  <si>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</si>
  <si>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</si>
  <si>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</si>
  <si>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</si>
  <si>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</si>
  <si>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</si>
  <si>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</si>
  <si>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</si>
  <si>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</si>
  <si>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</si>
  <si>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</si>
  <si>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</si>
  <si>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</si>
  <si>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</si>
  <si>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</si>
  <si>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</si>
  <si>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</si>
  <si>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</si>
  <si>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</si>
  <si>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</si>
  <si>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</si>
  <si>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</si>
  <si>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</si>
  <si>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</si>
  <si>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</si>
  <si>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</si>
  <si>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</si>
  <si>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</si>
  <si>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</si>
  <si>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</si>
  <si>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</si>
  <si>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</si>
  <si>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</si>
  <si>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</si>
  <si>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</si>
  <si>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</si>
  <si>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</si>
  <si>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</si>
  <si>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</si>
  <si>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</si>
  <si>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</si>
  <si>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</si>
  <si>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</si>
  <si>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</si>
  <si>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</si>
  <si>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</si>
  <si>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</si>
  <si>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</si>
  <si>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</si>
  <si>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</si>
  <si>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</si>
  <si>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</si>
  <si>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</si>
  <si>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</si>
  <si>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</si>
  <si>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</si>
  <si>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</si>
  <si>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</si>
  <si>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</si>
  <si>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</si>
  <si>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</si>
  <si>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</si>
  <si>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</si>
  <si>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</si>
  <si>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</si>
  <si>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</si>
  <si>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</si>
  <si>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</si>
  <si>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</si>
  <si>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</si>
  <si>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</si>
  <si>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</si>
  <si>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</si>
  <si>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</si>
  <si>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</si>
  <si>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</si>
  <si>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</si>
  <si>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</si>
  <si>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</si>
  <si>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</si>
  <si>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</si>
  <si>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</si>
  <si>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</si>
  <si>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</si>
  <si>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</si>
  <si>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</si>
  <si>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</si>
  <si>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</si>
  <si>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</si>
  <si>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</si>
  <si>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</si>
  <si>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</si>
  <si>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</si>
  <si>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</si>
  <si>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</si>
  <si>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</si>
  <si>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</si>
  <si>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</si>
  <si>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</si>
  <si>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</si>
  <si>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</si>
  <si>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</si>
  <si>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</si>
  <si>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</si>
  <si>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</si>
  <si>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</si>
  <si>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</si>
  <si>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</si>
  <si>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</si>
  <si>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</si>
  <si>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</si>
  <si>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</si>
  <si>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</si>
  <si>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</si>
  <si>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</si>
  <si>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</si>
  <si>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</si>
  <si>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</si>
  <si>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</si>
  <si>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</si>
  <si>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</si>
  <si>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</si>
  <si>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</si>
  <si>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</si>
  <si>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</si>
  <si>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</si>
  <si>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</si>
  <si>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</si>
  <si>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</si>
  <si>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</si>
  <si>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</si>
  <si>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</si>
  <si>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</si>
  <si>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</si>
  <si>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</si>
  <si>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</si>
  <si>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</si>
  <si>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</si>
  <si>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</si>
  <si>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</si>
  <si>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</si>
  <si>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</si>
  <si>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</si>
  <si>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</si>
  <si>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</si>
  <si>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</si>
  <si>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</si>
  <si>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</si>
  <si>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</si>
  <si>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</si>
  <si>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</si>
  <si>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</si>
  <si>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</si>
  <si>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</si>
  <si>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</si>
  <si>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</si>
  <si>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</si>
  <si>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</si>
  <si>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</si>
  <si>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</si>
  <si>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</si>
  <si>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</si>
  <si>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</si>
  <si>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</si>
  <si>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</si>
  <si>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</si>
  <si>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</si>
  <si>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</si>
  <si>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</si>
  <si>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</si>
  <si>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</si>
  <si>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</si>
  <si>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</si>
  <si>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</si>
  <si>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</si>
  <si>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</si>
  <si>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</si>
  <si>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</si>
  <si>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</si>
  <si>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</si>
  <si>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</si>
  <si>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</si>
  <si>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</si>
  <si>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</si>
  <si>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</si>
  <si>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</si>
  <si>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</si>
  <si>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</si>
  <si>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</si>
  <si>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</si>
  <si>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</si>
  <si>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</si>
  <si>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</si>
  <si>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</si>
  <si>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</si>
  <si>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</si>
  <si>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</si>
  <si>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</si>
  <si>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</si>
  <si>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</si>
  <si>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</si>
  <si>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</si>
  <si>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</si>
  <si>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</si>
  <si>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</si>
  <si>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</si>
  <si>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</si>
  <si>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</si>
  <si>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</si>
  <si>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</si>
  <si>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</si>
  <si>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</si>
  <si>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</si>
  <si>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</si>
  <si>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</si>
  <si>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</si>
  <si>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</si>
  <si>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</si>
  <si>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</si>
  <si>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</si>
  <si>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</si>
  <si>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</si>
  <si>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</si>
  <si>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</si>
  <si>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</si>
  <si>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</si>
  <si>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</si>
  <si>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</si>
  <si>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</si>
  <si>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</si>
  <si>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</si>
  <si>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</si>
  <si>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</si>
  <si>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</si>
  <si>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</si>
  <si>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</si>
  <si>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</si>
  <si>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</si>
  <si>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</si>
  <si>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</si>
  <si>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</si>
  <si>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</si>
  <si>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</si>
  <si>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</si>
  <si>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</si>
  <si>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</si>
  <si>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</si>
  <si>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</si>
  <si>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</si>
  <si>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</si>
  <si>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</si>
  <si>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</si>
  <si>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</si>
  <si>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</si>
  <si>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</si>
  <si>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</si>
  <si>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</si>
  <si>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</si>
  <si>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</si>
  <si>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</si>
  <si>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</si>
  <si>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</si>
  <si>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</si>
  <si>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</si>
  <si>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</si>
  <si>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</si>
  <si>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</si>
  <si>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</si>
  <si>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</si>
  <si>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</si>
  <si>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</si>
  <si>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</si>
  <si>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</si>
  <si>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</si>
  <si>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</si>
  <si>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</si>
  <si>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</si>
  <si>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</si>
  <si>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</si>
  <si>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</si>
  <si>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</si>
  <si>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</si>
  <si>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</si>
  <si>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</si>
  <si>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</si>
  <si>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</si>
  <si>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</si>
  <si>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</si>
  <si>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</si>
  <si>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</si>
  <si>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</si>
  <si>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</si>
  <si>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</si>
  <si>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</si>
  <si>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</si>
  <si>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</si>
  <si>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1</t>
  </si>
  <si>
    <t>2</t>
  </si>
  <si>
    <t>Реконструкция ВЛ 10 кВ от ПС-36 ф. 36-01 участок от опоры №78 до опоры №89 ориентировочной протяженностью 0,65 км. в г. Луга ЛО</t>
  </si>
  <si>
    <t>O_26-1-06-0-01-04-0-0062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</si>
</sst>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84" t="s">
        <v>365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</row>
    <row r="6" spans="1:22" ht="10.5" customHeight="1" x14ac:dyDescent="0.25"/>
    <row r="7" spans="1:22" ht="13.5" customHeight="1" x14ac:dyDescent="0.25">
      <c r="A7" s="6" t="s">
        <v>5</v>
      </c>
      <c r="H7" s="188" t="s">
        <v>366</v>
      </c>
      <c r="I7" s="188"/>
      <c r="J7" s="188"/>
      <c r="K7" s="188"/>
      <c r="L7" s="188"/>
      <c r="M7" s="188"/>
      <c r="N7" s="188"/>
      <c r="O7" s="188"/>
      <c r="P7" s="188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8" t="s">
        <v>359</v>
      </c>
      <c r="I9" s="188"/>
      <c r="J9" s="188"/>
      <c r="K9" s="188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5" t="s">
        <v>355</v>
      </c>
    </row>
    <row r="13" spans="1:22" s="4" customFormat="1" ht="39" customHeight="1" x14ac:dyDescent="0.25">
      <c r="A13" s="186" t="s">
        <v>6</v>
      </c>
      <c r="B13" s="186" t="s">
        <v>9</v>
      </c>
      <c r="C13" s="186" t="s">
        <v>334</v>
      </c>
      <c r="D13" s="186" t="s">
        <v>349</v>
      </c>
      <c r="E13" s="186"/>
      <c r="F13" s="186"/>
      <c r="G13" s="186"/>
      <c r="H13" s="186" t="s">
        <v>335</v>
      </c>
      <c r="I13" s="186" t="s">
        <v>348</v>
      </c>
      <c r="J13" s="186" t="s">
        <v>7</v>
      </c>
      <c r="K13" s="187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3" t="s">
        <v>337</v>
      </c>
      <c r="Q13" s="24"/>
    </row>
    <row r="14" spans="1:22" ht="38.25" customHeight="1" x14ac:dyDescent="0.25">
      <c r="A14" s="186"/>
      <c r="B14" s="186"/>
      <c r="C14" s="186"/>
      <c r="D14" s="136" t="s">
        <v>89</v>
      </c>
      <c r="E14" s="136" t="s">
        <v>91</v>
      </c>
      <c r="F14" s="136" t="s">
        <v>93</v>
      </c>
      <c r="G14" s="136" t="s">
        <v>318</v>
      </c>
      <c r="H14" s="186"/>
      <c r="I14" s="186"/>
      <c r="J14" s="186"/>
      <c r="K14" s="187"/>
      <c r="L14" s="136" t="s">
        <v>1</v>
      </c>
      <c r="M14" s="136" t="s">
        <v>317</v>
      </c>
      <c r="N14" s="136" t="s">
        <v>2</v>
      </c>
      <c r="O14" s="136" t="s">
        <v>3</v>
      </c>
      <c r="P14" s="183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363</v>
      </c>
      <c r="B16" s="162" t="s">
        <v>19</v>
      </c>
      <c r="C16" s="37">
        <f>VLOOKUP($B$16:$B$29,'Наименование работ'!B:G,6,)</f>
        <v>439881.26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6.68</v>
      </c>
      <c r="F16" s="37">
        <f>VLOOKUP($B$16:$B$29,'Наименование работ'!B:O,14,)</f>
        <v>6.02</v>
      </c>
      <c r="G16" s="37">
        <f>VLOOKUP($B$16:$B$29,'Наименование работ'!B:Q,16,)</f>
        <v>0</v>
      </c>
      <c r="H16" s="36">
        <f>VLOOKUP(B16:B29,'Наименование работ'!B:S,18,)</f>
        <v>4131790.5333999991</v>
      </c>
      <c r="I16" s="36">
        <f>VLOOKUP($B$16:$B$29,'Наименование работ'!B:R,17,)</f>
        <v>0</v>
      </c>
      <c r="J16" s="38" t="s">
        <v>353</v>
      </c>
      <c r="K16" s="154">
        <v>0.65</v>
      </c>
      <c r="L16" s="33">
        <f>(N16+O16)*0.04</f>
        <v>107426.55386839999</v>
      </c>
      <c r="M16" s="33">
        <v>0</v>
      </c>
      <c r="N16" s="34">
        <f>K16*H16</f>
        <v>2685663.8467099997</v>
      </c>
      <c r="O16" s="34">
        <f>K16*I16</f>
        <v>0</v>
      </c>
      <c r="P16" s="34">
        <f t="shared" ref="P16" si="0">SUM(L16:O16)</f>
        <v>2793090.4005783997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364</v>
      </c>
      <c r="B17" s="162" t="s">
        <v>314</v>
      </c>
      <c r="C17" s="37">
        <f>VLOOKUP($B$16:$B$29,'Наименование работ'!B:G,6,)</f>
        <v>130851.22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1461107.9273000001</v>
      </c>
      <c r="I17" s="36">
        <f>VLOOKUP($B$16:$B$29,'Наименование работ'!B:R,17,)</f>
        <v>0</v>
      </c>
      <c r="J17" s="38" t="s">
        <v>353</v>
      </c>
      <c r="K17" s="154">
        <v>0.65</v>
      </c>
      <c r="L17" s="33">
        <f>(N17+O17)*0.04</f>
        <v>37988.806109800003</v>
      </c>
      <c r="M17" s="33">
        <f t="shared" ref="M17:M29" si="1">147300*K17</f>
        <v>95745</v>
      </c>
      <c r="N17" s="34">
        <f t="shared" ref="N17:N29" si="2">K17*H17</f>
        <v>949720.15274500009</v>
      </c>
      <c r="O17" s="34">
        <f t="shared" ref="O17:O29" si="3">K17*I17</f>
        <v>0</v>
      </c>
      <c r="P17" s="34">
        <f t="shared" ref="P17" si="4">SUM(L17:O17)</f>
        <v>1083453.9588548001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54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352</v>
      </c>
      <c r="K19" s="154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352</v>
      </c>
      <c r="K20" s="154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4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4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7" t="s">
        <v>317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9"/>
      <c r="P30" s="34">
        <f>SUM(M16:M29)</f>
        <v>95745</v>
      </c>
    </row>
    <row r="31" spans="1:22" ht="16.5" customHeight="1" x14ac:dyDescent="0.25">
      <c r="A31" s="141"/>
      <c r="B31" s="177" t="s">
        <v>2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9"/>
      <c r="P31" s="35">
        <f>SUM(N16:N29)</f>
        <v>3635383.9994549998</v>
      </c>
    </row>
    <row r="32" spans="1:22" ht="16.5" customHeight="1" x14ac:dyDescent="0.25">
      <c r="A32" s="141"/>
      <c r="B32" s="177" t="s">
        <v>3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9"/>
      <c r="P32" s="35">
        <f>SUM(O16:O29)</f>
        <v>0</v>
      </c>
    </row>
    <row r="33" spans="1:21" ht="16.5" customHeight="1" x14ac:dyDescent="0.25">
      <c r="A33" s="141"/>
      <c r="B33" s="177" t="s">
        <v>346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9"/>
      <c r="P33" s="35">
        <f>SUM(L16:L29)</f>
        <v>145415.35997819999</v>
      </c>
      <c r="Q33" s="32"/>
      <c r="R33" s="32"/>
    </row>
    <row r="34" spans="1:21" ht="16.5" customHeight="1" x14ac:dyDescent="0.25">
      <c r="A34" s="141"/>
      <c r="B34" s="190" t="s">
        <v>12</v>
      </c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2"/>
      <c r="P34" s="34">
        <f>SUM(P30:P33)</f>
        <v>3876544.3594331997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6" t="s">
        <v>0</v>
      </c>
      <c r="C38" s="186"/>
      <c r="D38" s="186"/>
      <c r="E38" s="186"/>
      <c r="F38" s="193" t="s">
        <v>337</v>
      </c>
      <c r="G38" s="193"/>
      <c r="H38" s="194"/>
      <c r="I38" s="197" t="s">
        <v>354</v>
      </c>
      <c r="J38" s="198"/>
      <c r="K38" s="187" t="s">
        <v>338</v>
      </c>
      <c r="L38" s="187"/>
      <c r="M38" s="187" t="s">
        <v>339</v>
      </c>
      <c r="N38" s="187"/>
      <c r="O38" s="158"/>
      <c r="P38" s="158"/>
      <c r="Q38" s="147"/>
      <c r="R38" s="147"/>
      <c r="S38" s="22"/>
      <c r="T38" s="22"/>
      <c r="U38" s="22"/>
    </row>
    <row r="39" spans="1:21" ht="16.5" customHeight="1" x14ac:dyDescent="0.25">
      <c r="A39" s="23">
        <v>1</v>
      </c>
      <c r="B39" s="165" t="s">
        <v>319</v>
      </c>
      <c r="C39" s="165"/>
      <c r="D39" s="165"/>
      <c r="E39" s="165"/>
      <c r="F39" s="195">
        <f>P33+P30</f>
        <v>241160.35997819999</v>
      </c>
      <c r="G39" s="195"/>
      <c r="H39" s="196"/>
      <c r="I39" s="199">
        <f>VLOOKUP(H9,O39:P45,2,)</f>
        <v>1.0956003766002589</v>
      </c>
      <c r="J39" s="200"/>
      <c r="K39" s="182">
        <f>F39*$I$39</f>
        <v>264215.38121316989</v>
      </c>
      <c r="L39" s="182"/>
      <c r="M39" s="182">
        <f>K39*1.2</f>
        <v>317058.45745580387</v>
      </c>
      <c r="N39" s="182"/>
      <c r="O39" s="145" t="s">
        <v>74</v>
      </c>
      <c r="P39" s="146">
        <v>1.147</v>
      </c>
      <c r="Q39" s="148"/>
      <c r="R39" s="148"/>
      <c r="S39" s="22"/>
      <c r="T39" s="22"/>
      <c r="U39" s="22"/>
    </row>
    <row r="40" spans="1:21" ht="16.5" customHeight="1" x14ac:dyDescent="0.25">
      <c r="A40" s="23">
        <v>2</v>
      </c>
      <c r="B40" s="165" t="s">
        <v>2</v>
      </c>
      <c r="C40" s="165"/>
      <c r="D40" s="165"/>
      <c r="E40" s="165"/>
      <c r="F40" s="180">
        <f>P31</f>
        <v>3635383.9994549998</v>
      </c>
      <c r="G40" s="180"/>
      <c r="H40" s="181"/>
      <c r="I40" s="201"/>
      <c r="J40" s="202"/>
      <c r="K40" s="182">
        <f>F40*$I$39</f>
        <v>3982928.0788894533</v>
      </c>
      <c r="L40" s="182"/>
      <c r="M40" s="182">
        <f>K40*1.2</f>
        <v>4779513.694667344</v>
      </c>
      <c r="N40" s="182"/>
      <c r="O40" s="145" t="s">
        <v>75</v>
      </c>
      <c r="P40" s="146">
        <v>1.06968874824043</v>
      </c>
      <c r="Q40" s="148"/>
      <c r="R40" s="148"/>
      <c r="S40" s="22"/>
      <c r="T40" s="22"/>
      <c r="U40" s="22"/>
    </row>
    <row r="41" spans="1:21" ht="16.5" customHeight="1" x14ac:dyDescent="0.25">
      <c r="A41" s="23">
        <v>3</v>
      </c>
      <c r="B41" s="165" t="s">
        <v>3</v>
      </c>
      <c r="C41" s="165"/>
      <c r="D41" s="165"/>
      <c r="E41" s="165"/>
      <c r="F41" s="180">
        <f>P32</f>
        <v>0</v>
      </c>
      <c r="G41" s="180"/>
      <c r="H41" s="181"/>
      <c r="I41" s="201"/>
      <c r="J41" s="202"/>
      <c r="K41" s="182">
        <f t="shared" ref="K41" si="11">F41*$I$39</f>
        <v>0</v>
      </c>
      <c r="L41" s="182"/>
      <c r="M41" s="182">
        <f t="shared" ref="M41" si="12">K41*1.2</f>
        <v>0</v>
      </c>
      <c r="N41" s="182"/>
      <c r="O41" s="145" t="s">
        <v>76</v>
      </c>
      <c r="P41" s="146">
        <v>1.0527260918901</v>
      </c>
      <c r="Q41" s="148"/>
      <c r="R41" s="148"/>
      <c r="S41" s="22"/>
      <c r="T41" s="22"/>
      <c r="U41" s="22"/>
    </row>
    <row r="42" spans="1:21" ht="16.5" customHeight="1" x14ac:dyDescent="0.25">
      <c r="A42" s="23">
        <v>4</v>
      </c>
      <c r="B42" s="165" t="s">
        <v>4</v>
      </c>
      <c r="C42" s="165"/>
      <c r="D42" s="165"/>
      <c r="E42" s="165"/>
      <c r="F42" s="180"/>
      <c r="G42" s="180"/>
      <c r="H42" s="181"/>
      <c r="I42" s="201"/>
      <c r="J42" s="202"/>
      <c r="K42" s="166">
        <f>SUM(F43:H45)*$I$39</f>
        <v>872363.26670507877</v>
      </c>
      <c r="L42" s="167"/>
      <c r="M42" s="166">
        <f>K42*1.2</f>
        <v>1046835.9200460945</v>
      </c>
      <c r="N42" s="167"/>
      <c r="O42" s="145" t="s">
        <v>77</v>
      </c>
      <c r="P42" s="146">
        <v>1.04761984318213</v>
      </c>
      <c r="Q42" s="148"/>
      <c r="R42" s="148"/>
      <c r="S42" s="22"/>
      <c r="T42" s="22"/>
      <c r="U42" s="22"/>
    </row>
    <row r="43" spans="1:21" ht="15.75" customHeight="1" x14ac:dyDescent="0.25">
      <c r="A43" s="137" t="s">
        <v>78</v>
      </c>
      <c r="B43" s="172" t="s">
        <v>356</v>
      </c>
      <c r="C43" s="172"/>
      <c r="D43" s="172"/>
      <c r="E43" s="172"/>
      <c r="F43" s="170">
        <f>SUM(F39:H41)/100*P49</f>
        <v>82958.049291870484</v>
      </c>
      <c r="G43" s="170"/>
      <c r="H43" s="171"/>
      <c r="I43" s="201"/>
      <c r="J43" s="202"/>
      <c r="K43" s="168"/>
      <c r="L43" s="169"/>
      <c r="M43" s="168"/>
      <c r="N43" s="169"/>
      <c r="O43" s="159" t="s">
        <v>359</v>
      </c>
      <c r="P43" s="146">
        <f>1.0457995653007*P42</f>
        <v>1.0956003766002589</v>
      </c>
      <c r="Q43" s="148"/>
      <c r="R43" s="156"/>
      <c r="S43" s="22"/>
      <c r="T43" s="22"/>
      <c r="U43" s="22"/>
    </row>
    <row r="44" spans="1:21" ht="15.75" customHeight="1" x14ac:dyDescent="0.25">
      <c r="A44" s="137" t="s">
        <v>79</v>
      </c>
      <c r="B44" s="172" t="s">
        <v>358</v>
      </c>
      <c r="C44" s="172"/>
      <c r="D44" s="172"/>
      <c r="E44" s="172"/>
      <c r="F44" s="170">
        <f>SUM(F39:H41)/100*P50</f>
        <v>453555.69005368435</v>
      </c>
      <c r="G44" s="170"/>
      <c r="H44" s="171"/>
      <c r="I44" s="201"/>
      <c r="J44" s="202"/>
      <c r="K44" s="168"/>
      <c r="L44" s="169"/>
      <c r="M44" s="168"/>
      <c r="N44" s="169"/>
      <c r="O44" s="159" t="s">
        <v>360</v>
      </c>
      <c r="P44" s="146">
        <f>1.0457995653007*P43</f>
        <v>1.1457783975918339</v>
      </c>
      <c r="Q44" s="148"/>
      <c r="R44" s="156"/>
      <c r="S44" s="22"/>
      <c r="T44" s="22"/>
      <c r="U44" s="22"/>
    </row>
    <row r="45" spans="1:21" ht="15.75" customHeight="1" x14ac:dyDescent="0.25">
      <c r="A45" s="137" t="s">
        <v>80</v>
      </c>
      <c r="B45" s="173" t="s">
        <v>357</v>
      </c>
      <c r="C45" s="173"/>
      <c r="D45" s="173"/>
      <c r="E45" s="173"/>
      <c r="F45" s="170">
        <f>SUM(F39:H41)/100*P51</f>
        <v>259728.47208202441</v>
      </c>
      <c r="G45" s="170"/>
      <c r="H45" s="171"/>
      <c r="I45" s="201"/>
      <c r="J45" s="202"/>
      <c r="K45" s="168"/>
      <c r="L45" s="169"/>
      <c r="M45" s="168"/>
      <c r="N45" s="169"/>
      <c r="O45" s="159" t="s">
        <v>361</v>
      </c>
      <c r="P45" s="146">
        <f>1.0457995653007*P44</f>
        <v>1.1982545501324724</v>
      </c>
      <c r="Q45" s="148"/>
      <c r="R45" s="156"/>
      <c r="S45" s="22"/>
      <c r="T45" s="22"/>
      <c r="U45" s="22"/>
    </row>
    <row r="46" spans="1:21" ht="14.25" customHeight="1" x14ac:dyDescent="0.25">
      <c r="A46" s="174" t="s">
        <v>81</v>
      </c>
      <c r="B46" s="174"/>
      <c r="C46" s="174"/>
      <c r="D46" s="174"/>
      <c r="E46" s="174"/>
      <c r="F46" s="164">
        <f>SUM(F39:H45)</f>
        <v>4672786.5708607789</v>
      </c>
      <c r="G46" s="164"/>
      <c r="H46" s="164"/>
      <c r="I46" s="164"/>
      <c r="J46" s="164"/>
      <c r="K46" s="163">
        <f>SUM(K39:L45)</f>
        <v>5119506.7268077023</v>
      </c>
      <c r="L46" s="163"/>
      <c r="M46" s="163">
        <f>SUM(M39:N45)</f>
        <v>6143408.0721692424</v>
      </c>
      <c r="N46" s="163"/>
      <c r="O46" s="159" t="s">
        <v>362</v>
      </c>
      <c r="P46" s="146">
        <f>1.0457995653007*P45</f>
        <v>1.2531340876481254</v>
      </c>
      <c r="Q46" s="149"/>
      <c r="R46" s="157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50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51"/>
      <c r="R48" s="55"/>
      <c r="S48" s="46"/>
      <c r="T48" s="47"/>
      <c r="U48" s="56"/>
    </row>
    <row r="49" spans="1:21" s="26" customFormat="1" ht="39.75" customHeight="1" x14ac:dyDescent="0.25">
      <c r="A49" s="64"/>
      <c r="B49" s="176" t="s">
        <v>342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59"/>
      <c r="P49" s="152">
        <v>2.14</v>
      </c>
      <c r="Q49" s="151"/>
      <c r="R49" s="55"/>
      <c r="S49" s="46"/>
      <c r="T49" s="47"/>
      <c r="U49" s="56"/>
    </row>
    <row r="50" spans="1:21" s="26" customFormat="1" ht="28.5" customHeight="1" x14ac:dyDescent="0.25">
      <c r="A50" s="64"/>
      <c r="B50" s="176" t="s">
        <v>345</v>
      </c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59"/>
      <c r="P50" s="15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5" t="s">
        <v>343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59"/>
      <c r="P51" s="153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5" t="s">
        <v>344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59"/>
      <c r="P52" s="161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autoFilter ref="J1:J54" xr:uid="{00000000-0009-0000-0000-000000000000}"/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="172" zoomScaleNormal="100" zoomScaleSheetLayoutView="172" workbookViewId="0">
      <pane ySplit="1" topLeftCell="A245" activePane="bottomLeft" state="frozen"/>
      <selection pane="bottomLeft" activeCell="B288" sqref="B288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Алфёрова Ирина Сергеевна</cp:lastModifiedBy>
  <cp:lastPrinted>2022-10-17T11:16:39Z</cp:lastPrinted>
  <dcterms:created xsi:type="dcterms:W3CDTF">2021-07-06T05:30:42Z</dcterms:created>
  <dcterms:modified xsi:type="dcterms:W3CDTF">2024-01-19T10:33:24Z</dcterms:modified>
</cp:coreProperties>
</file>