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Копылова_АС\23 08 00002\"/>
    </mc:Choice>
  </mc:AlternateContent>
  <xr:revisionPtr revIDLastSave="0" documentId="13_ncr:1_{FEAA8593-46B2-4193-930D-D89EAA2D212E}" xr6:coauthVersionLast="36" xr6:coauthVersionMax="36" xr10:uidLastSave="{00000000-0000-0000-0000-000000000000}"/>
  <bookViews>
    <workbookView xWindow="0" yWindow="0" windowWidth="28800" windowHeight="12225" tabRatio="610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4" l="1"/>
  <c r="P43" i="4" l="1"/>
  <c r="P44" i="4" s="1"/>
  <c r="P45" i="4" s="1"/>
  <c r="P46" i="4" s="1"/>
  <c r="I39" i="4" l="1"/>
  <c r="M17" i="4" l="1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C191" i="5"/>
  <c r="L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P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C167" i="5"/>
  <c r="L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 s="1"/>
  <c r="L160" i="5" s="1"/>
  <c r="P159" i="5"/>
  <c r="N159" i="5"/>
  <c r="H159" i="5"/>
  <c r="E159" i="5"/>
  <c r="C159" i="5" s="1"/>
  <c r="L159" i="5" s="1"/>
  <c r="P158" i="5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P148" i="5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P120" i="5"/>
  <c r="N120" i="5"/>
  <c r="H120" i="5"/>
  <c r="E120" i="5"/>
  <c r="C120" i="5" s="1"/>
  <c r="L120" i="5" s="1"/>
  <c r="N119" i="5"/>
  <c r="H119" i="5"/>
  <c r="E119" i="5"/>
  <c r="P119" i="5" s="1"/>
  <c r="P118" i="5"/>
  <c r="N118" i="5"/>
  <c r="H118" i="5"/>
  <c r="E118" i="5"/>
  <c r="C118" i="5" s="1"/>
  <c r="L118" i="5" s="1"/>
  <c r="N117" i="5"/>
  <c r="E117" i="5"/>
  <c r="N116" i="5"/>
  <c r="E116" i="5"/>
  <c r="P116" i="5" s="1"/>
  <c r="C116" i="5"/>
  <c r="L116" i="5" s="1"/>
  <c r="N115" i="5"/>
  <c r="H115" i="5"/>
  <c r="E115" i="5"/>
  <c r="P115" i="5" s="1"/>
  <c r="C115" i="5"/>
  <c r="L115" i="5" s="1"/>
  <c r="N114" i="5"/>
  <c r="E114" i="5"/>
  <c r="N113" i="5"/>
  <c r="E113" i="5"/>
  <c r="P113" i="5" s="1"/>
  <c r="C113" i="5"/>
  <c r="L113" i="5" s="1"/>
  <c r="N112" i="5"/>
  <c r="H112" i="5"/>
  <c r="E112" i="5"/>
  <c r="P112" i="5" s="1"/>
  <c r="C112" i="5"/>
  <c r="L112" i="5" s="1"/>
  <c r="N111" i="5"/>
  <c r="H111" i="5"/>
  <c r="E111" i="5"/>
  <c r="P111" i="5" s="1"/>
  <c r="N110" i="5"/>
  <c r="H110" i="5"/>
  <c r="E110" i="5"/>
  <c r="P110" i="5" s="1"/>
  <c r="C110" i="5"/>
  <c r="L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C89" i="5"/>
  <c r="L89" i="5" s="1"/>
  <c r="N88" i="5"/>
  <c r="H88" i="5"/>
  <c r="E88" i="5"/>
  <c r="P88" i="5" s="1"/>
  <c r="C88" i="5"/>
  <c r="L88" i="5" s="1"/>
  <c r="N87" i="5"/>
  <c r="H87" i="5"/>
  <c r="E87" i="5"/>
  <c r="P87" i="5" s="1"/>
  <c r="N86" i="5"/>
  <c r="H86" i="5"/>
  <c r="E86" i="5"/>
  <c r="P86" i="5" s="1"/>
  <c r="C86" i="5"/>
  <c r="L86" i="5" s="1"/>
  <c r="N85" i="5"/>
  <c r="H85" i="5"/>
  <c r="E85" i="5"/>
  <c r="P85" i="5" s="1"/>
  <c r="C85" i="5"/>
  <c r="L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C82" i="5"/>
  <c r="L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P4" i="5" l="1"/>
  <c r="P145" i="5"/>
  <c r="P177" i="5"/>
  <c r="C3" i="5"/>
  <c r="L3" i="5" s="1"/>
  <c r="C8" i="5"/>
  <c r="L8" i="5" s="1"/>
  <c r="C83" i="5"/>
  <c r="L83" i="5" s="1"/>
  <c r="I83" i="5" s="1"/>
  <c r="J83" i="5" s="1"/>
  <c r="C98" i="5"/>
  <c r="L98" i="5" s="1"/>
  <c r="I98" i="5" s="1"/>
  <c r="J98" i="5" s="1"/>
  <c r="C186" i="5"/>
  <c r="L186" i="5" s="1"/>
  <c r="I186" i="5" s="1"/>
  <c r="J186" i="5" s="1"/>
  <c r="C122" i="5"/>
  <c r="L122" i="5" s="1"/>
  <c r="C163" i="5"/>
  <c r="L163" i="5" s="1"/>
  <c r="C183" i="5"/>
  <c r="L183" i="5" s="1"/>
  <c r="I183" i="5" s="1"/>
  <c r="J183" i="5" s="1"/>
  <c r="C107" i="5"/>
  <c r="L107" i="5" s="1"/>
  <c r="I107" i="5" s="1"/>
  <c r="J107" i="5" s="1"/>
  <c r="C152" i="5"/>
  <c r="L152" i="5" s="1"/>
  <c r="C81" i="5"/>
  <c r="L81" i="5" s="1"/>
  <c r="C104" i="5"/>
  <c r="L104" i="5" s="1"/>
  <c r="I292" i="5"/>
  <c r="J292" i="5" s="1"/>
  <c r="I54" i="5"/>
  <c r="J54" i="5" s="1"/>
  <c r="C111" i="5"/>
  <c r="L111" i="5" s="1"/>
  <c r="I111" i="5" s="1"/>
  <c r="J111" i="5" s="1"/>
  <c r="P79" i="5"/>
  <c r="C75" i="5"/>
  <c r="L75" i="5" s="1"/>
  <c r="I75" i="5" s="1"/>
  <c r="J75" i="5" s="1"/>
  <c r="P78" i="5"/>
  <c r="I78" i="5" s="1"/>
  <c r="J78" i="5" s="1"/>
  <c r="C102" i="5"/>
  <c r="L102" i="5" s="1"/>
  <c r="I102" i="5" s="1"/>
  <c r="J102" i="5" s="1"/>
  <c r="C105" i="5"/>
  <c r="L105" i="5" s="1"/>
  <c r="I105" i="5" s="1"/>
  <c r="J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C184" i="5"/>
  <c r="L184" i="5" s="1"/>
  <c r="I184" i="5" s="1"/>
  <c r="J184" i="5" s="1"/>
  <c r="P9" i="5"/>
  <c r="I9" i="5" s="1"/>
  <c r="J9" i="5" s="1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178" i="5" s="1"/>
  <c r="J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I119" i="5" s="1"/>
  <c r="J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I149" i="5" s="1"/>
  <c r="J149" i="5" s="1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P10" i="5"/>
  <c r="I10" i="5" s="1"/>
  <c r="J10" i="5" s="1"/>
  <c r="P127" i="5"/>
  <c r="I127" i="5" s="1"/>
  <c r="J127" i="5" s="1"/>
  <c r="P140" i="5"/>
  <c r="I140" i="5" s="1"/>
  <c r="J140" i="5" s="1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I195" i="5" s="1"/>
  <c r="J195" i="5" s="1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118" i="5"/>
  <c r="J118" i="5" s="1"/>
  <c r="I122" i="5"/>
  <c r="J122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112" i="5"/>
  <c r="J112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216" i="5"/>
  <c r="J216" i="5" s="1"/>
  <c r="I11" i="5"/>
  <c r="J11" i="5" s="1"/>
  <c r="I25" i="5"/>
  <c r="J25" i="5" s="1"/>
  <c r="I44" i="5"/>
  <c r="J44" i="5" s="1"/>
  <c r="I163" i="5"/>
  <c r="J163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175" i="5"/>
  <c r="J175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67" i="5"/>
  <c r="J167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66" i="5"/>
  <c r="J16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1" i="5"/>
  <c r="J81" i="5" s="1"/>
  <c r="I82" i="5"/>
  <c r="J82" i="5" s="1"/>
  <c r="I260" i="5"/>
  <c r="J260" i="5" s="1"/>
  <c r="I15" i="5"/>
  <c r="J15" i="5" s="1"/>
  <c r="I48" i="5"/>
  <c r="J48" i="5" s="1"/>
  <c r="I64" i="5"/>
  <c r="J64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38" i="5"/>
  <c r="J138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79" i="5"/>
  <c r="J79" i="5" s="1"/>
  <c r="I86" i="5"/>
  <c r="J86" i="5" s="1"/>
  <c r="I120" i="5"/>
  <c r="J120" i="5" s="1"/>
  <c r="I145" i="5"/>
  <c r="J145" i="5" s="1"/>
  <c r="I148" i="5"/>
  <c r="J148" i="5" s="1"/>
  <c r="I159" i="5"/>
  <c r="J159" i="5" s="1"/>
  <c r="I191" i="5"/>
  <c r="J191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I89" i="5"/>
  <c r="J89" i="5" s="1"/>
  <c r="P101" i="5"/>
  <c r="C101" i="5"/>
  <c r="L101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I85" i="5"/>
  <c r="J85" i="5" s="1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10" i="5"/>
  <c r="J110" i="5" s="1"/>
  <c r="I115" i="5"/>
  <c r="J115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O18" i="4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H17" i="4"/>
  <c r="N17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L17" i="4"/>
  <c r="P17" i="4" s="1"/>
  <c r="P31" i="4" l="1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M46" i="4" l="1"/>
  <c r="F46" i="4"/>
  <c r="K46" i="4" l="1"/>
</calcChain>
</file>

<file path=xl/sharedStrings.xml><?xml version="1.0" encoding="utf-8"?>
<sst xmlns="http://schemas.openxmlformats.org/spreadsheetml/2006/main" count="405" uniqueCount="366">
  <si>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</si>
  <si>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</si>
  <si>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</si>
  <si>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</si>
  <si>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</si>
  <si>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</si>
  <si>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</si>
  <si>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</si>
  <si>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</si>
  <si>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</si>
  <si>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</si>
  <si>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</si>
  <si>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</si>
  <si>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</si>
  <si>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</si>
  <si>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</si>
  <si>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</si>
  <si>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</si>
  <si>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</si>
  <si>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</si>
  <si>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</si>
  <si>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</si>
  <si>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</si>
  <si>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</si>
  <si>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</si>
  <si>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</si>
  <si>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</si>
  <si>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</si>
  <si>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</si>
  <si>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</si>
  <si>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</si>
  <si>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</si>
  <si>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</si>
  <si>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</si>
  <si>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</si>
  <si>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</si>
  <si>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</si>
  <si>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</si>
  <si>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</si>
  <si>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</si>
  <si>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</si>
  <si>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</si>
  <si>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</si>
  <si>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</si>
  <si>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</si>
  <si>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</si>
  <si>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</si>
  <si>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</si>
  <si>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</si>
  <si>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</si>
  <si>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</si>
  <si>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</si>
  <si>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</si>
  <si>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</si>
  <si>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</si>
  <si>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</si>
  <si>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</si>
  <si>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</si>
  <si>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</si>
  <si>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</si>
  <si>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</si>
  <si>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</si>
  <si>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</si>
  <si>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</si>
  <si>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</si>
  <si>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</si>
  <si>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</si>
  <si>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</si>
  <si>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</si>
  <si>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</si>
  <si>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</si>
  <si>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</si>
  <si>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</si>
  <si>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</si>
  <si>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</si>
  <si>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</si>
  <si>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</si>
  <si>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</si>
  <si>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</si>
  <si>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</si>
  <si>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</si>
  <si>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</si>
  <si>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</si>
  <si>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</si>
  <si>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</si>
  <si>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</si>
  <si>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</si>
  <si>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</si>
  <si>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</si>
  <si>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</si>
  <si>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</si>
  <si>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</si>
  <si>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</si>
  <si>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</si>
  <si>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</si>
  <si>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</si>
  <si>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</si>
  <si>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</si>
  <si>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</si>
  <si>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</si>
  <si>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</si>
  <si>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</si>
  <si>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</si>
  <si>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</si>
  <si>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</si>
  <si>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</si>
  <si>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</si>
  <si>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</si>
  <si>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</si>
  <si>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</si>
  <si>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</si>
  <si>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</si>
  <si>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</si>
  <si>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</si>
  <si>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</si>
  <si>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</si>
  <si>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</si>
  <si>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</si>
  <si>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</si>
  <si>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</si>
  <si>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</si>
  <si>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</si>
  <si>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</si>
  <si>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</si>
  <si>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</si>
  <si>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</si>
  <si>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</si>
  <si>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</si>
  <si>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</si>
  <si>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</si>
  <si>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</si>
  <si>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</si>
  <si>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</si>
  <si>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</si>
  <si>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</si>
  <si>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</si>
  <si>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</si>
  <si>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</si>
  <si>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</si>
  <si>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</si>
  <si>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</si>
  <si>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</si>
  <si>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</si>
  <si>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</si>
  <si>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</si>
  <si>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</si>
  <si>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</si>
  <si>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</si>
  <si>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</si>
  <si>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</si>
  <si>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</si>
  <si>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</si>
  <si>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</si>
  <si>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</si>
  <si>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</si>
  <si>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</si>
  <si>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</si>
  <si>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</si>
  <si>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</si>
  <si>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</si>
  <si>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</si>
  <si>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</si>
  <si>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</si>
  <si>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</si>
  <si>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</si>
  <si>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</si>
  <si>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</si>
  <si>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</si>
  <si>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</si>
  <si>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</si>
  <si>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</si>
  <si>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</si>
  <si>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</si>
  <si>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</si>
  <si>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</si>
  <si>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</si>
  <si>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</si>
  <si>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</si>
  <si>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</si>
  <si>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</si>
  <si>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</si>
  <si>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</si>
  <si>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</si>
  <si>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</si>
  <si>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</si>
  <si>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</si>
  <si>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</si>
  <si>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</si>
  <si>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</si>
  <si>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</si>
  <si>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</si>
  <si>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</si>
  <si>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</si>
  <si>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</si>
  <si>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</si>
  <si>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</si>
  <si>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</si>
  <si>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</si>
  <si>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</si>
  <si>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</si>
  <si>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</si>
  <si>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</si>
  <si>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</si>
  <si>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</si>
  <si>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</si>
  <si>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</si>
  <si>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</si>
  <si>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</si>
  <si>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</si>
  <si>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</si>
  <si>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</si>
  <si>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</si>
  <si>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</si>
  <si>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</si>
  <si>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</si>
  <si>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</si>
  <si>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</si>
  <si>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</si>
  <si>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</si>
  <si>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</si>
  <si>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</si>
  <si>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</si>
  <si>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</si>
  <si>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</si>
  <si>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</si>
  <si>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</si>
  <si>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</si>
  <si>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</si>
  <si>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</si>
  <si>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</si>
  <si>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</si>
  <si>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</si>
  <si>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</si>
  <si>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</si>
  <si>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</si>
  <si>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</si>
  <si>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</si>
  <si>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</si>
  <si>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</si>
  <si>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</si>
  <si>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</si>
  <si>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</si>
  <si>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</si>
  <si>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</si>
  <si>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</si>
  <si>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</si>
  <si>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</si>
  <si>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</si>
  <si>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</si>
  <si>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</si>
  <si>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</si>
  <si>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</si>
  <si>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</si>
  <si>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</si>
  <si>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</si>
  <si>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</si>
  <si>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</si>
  <si>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</si>
  <si>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</si>
  <si>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</si>
  <si>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</si>
  <si>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</si>
  <si>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</si>
  <si>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</si>
  <si>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</si>
  <si>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</si>
  <si>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</si>
  <si>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</si>
  <si>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</si>
  <si>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</si>
  <si>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</si>
  <si>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</si>
  <si>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</si>
  <si>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</si>
  <si>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</si>
  <si>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</si>
  <si>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</si>
  <si>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</si>
  <si>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</si>
  <si>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</si>
  <si>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</si>
  <si>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</si>
  <si>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</si>
  <si>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</si>
  <si>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</si>
  <si>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</si>
  <si>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</si>
  <si>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</si>
  <si>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</si>
  <si>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</si>
  <si>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</si>
  <si>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</si>
  <si>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</si>
  <si>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</si>
  <si>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</si>
  <si>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</si>
  <si>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</si>
  <si>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</si>
  <si>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</si>
  <si>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</si>
  <si>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</si>
  <si>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</si>
  <si>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</si>
  <si>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</si>
  <si>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</si>
  <si>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</si>
  <si>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</si>
  <si>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</si>
  <si>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</si>
  <si>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</si>
  <si>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</si>
  <si>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</si>
  <si>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</si>
  <si>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</si>
  <si>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</si>
  <si>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</si>
  <si>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</si>
  <si>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</si>
  <si>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</si>
  <si>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</si>
  <si>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</si>
  <si>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</si>
  <si>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</si>
  <si>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</si>
  <si>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</si>
  <si>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</si>
  <si>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</si>
  <si>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</si>
  <si>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</si>
  <si>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</si>
  <si>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</si>
  <si>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</si>
  <si>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</si>
  <si>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</si>
  <si>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</si>
  <si>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</si>
  <si>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</si>
  <si>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</si>
  <si>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</si>
  <si>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</si>
  <si>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</si>
  <si>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</si>
  <si>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</si>
  <si>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</si>
  <si>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</si>
  <si>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</si>
  <si>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</si>
  <si>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</si>
  <si>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</si>
  <si>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</si>
  <si>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</si>
  <si>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</si>
  <si>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</si>
  <si>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</si>
  <si>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</si>
  <si>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</si>
  <si>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</si>
  <si>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</si>
  <si>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</si>
  <si>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</si>
  <si>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</si>
  <si>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км</t>
  </si>
  <si>
    <t>шт</t>
  </si>
  <si>
    <t>га</t>
  </si>
  <si>
    <t>Реконструкция КЛ-10 кВ от оп. ВЛ-10 кВ фид. 169-101 до ТП СП-16, протяженностью 2,39 км в г. Сосновый Бор ЛО</t>
  </si>
  <si>
    <t>O_26-1-08-0-01-04-0-0040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</si>
</sst>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7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0" fontId="22" fillId="0" borderId="0" xfId="0" applyFont="1" applyBorder="1"/>
    <xf numFmtId="0" fontId="22" fillId="0" borderId="0" xfId="0" applyFont="1"/>
    <xf numFmtId="4" fontId="22" fillId="0" borderId="0" xfId="0" applyNumberFormat="1" applyFont="1"/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2" fillId="0" borderId="0" xfId="10" applyNumberFormat="1" applyFont="1" applyBorder="1" applyAlignment="1">
      <alignment wrapText="1"/>
    </xf>
    <xf numFmtId="2" fontId="21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3" fillId="0" borderId="0" xfId="0" applyFont="1"/>
    <xf numFmtId="4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90" zoomScaleNormal="85" zoomScaleSheetLayoutView="90" workbookViewId="0">
      <selection activeCell="A6" sqref="A6"/>
    </sheetView>
  </sheetViews>
  <sheetFormatPr defaultRowHeight="15" x14ac:dyDescent="0.25"/>
  <cols>
    <col min="1" max="1" width="6.7109375" style="4" customWidth="1"/>
    <col min="2" max="2" width="34.8554687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27" customHeight="1" x14ac:dyDescent="0.25">
      <c r="A5" s="190" t="s">
        <v>364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</row>
    <row r="6" spans="1:22" ht="10.5" customHeight="1" x14ac:dyDescent="0.25"/>
    <row r="7" spans="1:22" ht="13.5" customHeight="1" x14ac:dyDescent="0.25">
      <c r="A7" s="6" t="s">
        <v>5</v>
      </c>
      <c r="C7" s="2" t="s">
        <v>365</v>
      </c>
      <c r="H7" s="193"/>
      <c r="I7" s="193"/>
      <c r="J7" s="193"/>
      <c r="K7" s="193"/>
      <c r="L7" s="193"/>
      <c r="M7" s="193"/>
      <c r="N7" s="193"/>
      <c r="O7" s="193"/>
      <c r="P7" s="193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2" t="s">
        <v>358</v>
      </c>
      <c r="I9" s="192"/>
      <c r="J9" s="192"/>
      <c r="K9" s="192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5" t="s">
        <v>353</v>
      </c>
    </row>
    <row r="13" spans="1:22" s="4" customFormat="1" ht="39" customHeight="1" x14ac:dyDescent="0.25">
      <c r="A13" s="172" t="s">
        <v>6</v>
      </c>
      <c r="B13" s="172" t="s">
        <v>9</v>
      </c>
      <c r="C13" s="172" t="s">
        <v>334</v>
      </c>
      <c r="D13" s="172" t="s">
        <v>349</v>
      </c>
      <c r="E13" s="172"/>
      <c r="F13" s="172"/>
      <c r="G13" s="172"/>
      <c r="H13" s="172" t="s">
        <v>335</v>
      </c>
      <c r="I13" s="172" t="s">
        <v>348</v>
      </c>
      <c r="J13" s="172" t="s">
        <v>7</v>
      </c>
      <c r="K13" s="170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9" t="s">
        <v>337</v>
      </c>
      <c r="Q13" s="24"/>
    </row>
    <row r="14" spans="1:22" ht="38.25" customHeight="1" x14ac:dyDescent="0.25">
      <c r="A14" s="172"/>
      <c r="B14" s="172"/>
      <c r="C14" s="172"/>
      <c r="D14" s="136" t="s">
        <v>89</v>
      </c>
      <c r="E14" s="136" t="s">
        <v>91</v>
      </c>
      <c r="F14" s="136" t="s">
        <v>93</v>
      </c>
      <c r="G14" s="136" t="s">
        <v>318</v>
      </c>
      <c r="H14" s="172"/>
      <c r="I14" s="172"/>
      <c r="J14" s="172"/>
      <c r="K14" s="170"/>
      <c r="L14" s="136" t="s">
        <v>1</v>
      </c>
      <c r="M14" s="136" t="s">
        <v>317</v>
      </c>
      <c r="N14" s="136" t="s">
        <v>2</v>
      </c>
      <c r="O14" s="136" t="s">
        <v>3</v>
      </c>
      <c r="P14" s="189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39"/>
      <c r="R15" s="139"/>
      <c r="S15" s="139"/>
      <c r="T15" s="139"/>
      <c r="U15" s="39"/>
      <c r="V15" s="17"/>
    </row>
    <row r="16" spans="1:22" ht="24" customHeight="1" x14ac:dyDescent="0.25">
      <c r="A16" s="10"/>
      <c r="B16" s="162" t="s">
        <v>67</v>
      </c>
      <c r="C16" s="37">
        <f>VLOOKUP($B$16:$B$29,'Наименование работ'!B:G,6,)</f>
        <v>847633.03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8.27</v>
      </c>
      <c r="F16" s="37">
        <f>VLOOKUP($B$16:$B$29,'Наименование работ'!B:O,14,)</f>
        <v>3.76</v>
      </c>
      <c r="G16" s="37">
        <f>VLOOKUP($B$16:$B$29,'Наименование работ'!B:Q,16,)</f>
        <v>0</v>
      </c>
      <c r="H16" s="36">
        <f>VLOOKUP(B16:B29,'Наименование работ'!B:S,18,)</f>
        <v>5341380.3251999989</v>
      </c>
      <c r="I16" s="36">
        <f>VLOOKUP($B$16:$B$29,'Наименование работ'!B:R,17,)</f>
        <v>0</v>
      </c>
      <c r="J16" s="38" t="s">
        <v>361</v>
      </c>
      <c r="K16" s="163">
        <v>0.1</v>
      </c>
      <c r="L16" s="33">
        <f>(N16+O16)*0.04</f>
        <v>21365.521300799996</v>
      </c>
      <c r="M16" s="33">
        <f>147300*K16</f>
        <v>14730</v>
      </c>
      <c r="N16" s="34">
        <f>K16*H16</f>
        <v>534138.03251999989</v>
      </c>
      <c r="O16" s="34">
        <f>K16*I16</f>
        <v>0</v>
      </c>
      <c r="P16" s="34">
        <f t="shared" ref="P16" si="0">SUM(L16:O16)</f>
        <v>570233.55382079992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/>
      <c r="B17" s="162" t="s">
        <v>14</v>
      </c>
      <c r="C17" s="37">
        <f>VLOOKUP($B$16:$B$29,'Наименование работ'!B:G,6,)</f>
        <v>346803.06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6.68</v>
      </c>
      <c r="F17" s="37">
        <f>VLOOKUP($B$16:$B$29,'Наименование работ'!B:O,14,)</f>
        <v>6.02</v>
      </c>
      <c r="G17" s="37">
        <f>VLOOKUP($B$16:$B$29,'Наименование работ'!B:Q,16,)</f>
        <v>0</v>
      </c>
      <c r="H17" s="36">
        <f>VLOOKUP(B17:B30,'Наименование работ'!B:S,18,)</f>
        <v>3161496.5897999993</v>
      </c>
      <c r="I17" s="36">
        <f>VLOOKUP($B$16:$B$29,'Наименование работ'!B:R,17,)</f>
        <v>0</v>
      </c>
      <c r="J17" s="38" t="s">
        <v>361</v>
      </c>
      <c r="K17" s="164">
        <v>2.29</v>
      </c>
      <c r="L17" s="33">
        <f>(N17+O17)*0.04</f>
        <v>289593.08762567997</v>
      </c>
      <c r="M17" s="33">
        <f t="shared" ref="M17:M29" si="1">147300*K17</f>
        <v>337317</v>
      </c>
      <c r="N17" s="34">
        <f>K17*H17</f>
        <v>7239827.1906419983</v>
      </c>
      <c r="O17" s="34">
        <f t="shared" ref="O17:O29" si="2">K17*I17</f>
        <v>0</v>
      </c>
      <c r="P17" s="34">
        <f>SUM(L17:O17)</f>
        <v>7866737.2782676779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/>
      <c r="B18" s="40" t="s">
        <v>59</v>
      </c>
      <c r="C18" s="37">
        <f>VLOOKUP($B$16:$B$29,'Наименование работ'!B:G,6,)</f>
        <v>11150.76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6.68</v>
      </c>
      <c r="F18" s="37">
        <f>VLOOKUP($B$16:$B$29,'Наименование работ'!B:O,14,)</f>
        <v>6.02</v>
      </c>
      <c r="G18" s="37">
        <f>VLOOKUP($B$16:$B$29,'Наименование работ'!B:Q,16,)</f>
        <v>0</v>
      </c>
      <c r="H18" s="36">
        <f>VLOOKUP(B18:B31,'Наименование работ'!B:S,18,)</f>
        <v>102937.0815</v>
      </c>
      <c r="I18" s="36">
        <f>VLOOKUP($B$16:$B$29,'Наименование работ'!B:R,17,)</f>
        <v>0</v>
      </c>
      <c r="J18" s="38" t="s">
        <v>362</v>
      </c>
      <c r="K18" s="164">
        <v>2</v>
      </c>
      <c r="L18" s="33">
        <f t="shared" ref="L18:L29" si="3">(N18+O18)*0.08</f>
        <v>16469.93304</v>
      </c>
      <c r="M18" s="33">
        <v>0</v>
      </c>
      <c r="N18" s="34">
        <f t="shared" ref="N18:N29" si="4">K18*H18</f>
        <v>205874.163</v>
      </c>
      <c r="O18" s="34">
        <f t="shared" si="2"/>
        <v>0</v>
      </c>
      <c r="P18" s="34">
        <f t="shared" ref="P18" si="5">SUM(L18:O18)</f>
        <v>222344.09604</v>
      </c>
      <c r="Q18" s="25"/>
      <c r="R18" s="25"/>
      <c r="S18" s="25"/>
      <c r="T18" s="25"/>
      <c r="U18" s="20"/>
      <c r="V18" s="17"/>
    </row>
    <row r="19" spans="1:22" ht="24" customHeight="1" x14ac:dyDescent="0.25">
      <c r="A19" s="10"/>
      <c r="B19" s="40" t="s">
        <v>314</v>
      </c>
      <c r="C19" s="37">
        <f>VLOOKUP($B$16:$B$29,'Наименование работ'!B:G,6,)</f>
        <v>130851.22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6.68</v>
      </c>
      <c r="F19" s="37">
        <f>VLOOKUP($B$16:$B$29,'Наименование работ'!B:O,14,)</f>
        <v>6.02</v>
      </c>
      <c r="G19" s="37">
        <f>VLOOKUP($B$16:$B$29,'Наименование работ'!B:Q,16,)</f>
        <v>0</v>
      </c>
      <c r="H19" s="36">
        <f>VLOOKUP(B19:B32,'Наименование работ'!B:S,18,)</f>
        <v>1461107.9273000001</v>
      </c>
      <c r="I19" s="36">
        <f>VLOOKUP($B$16:$B$29,'Наименование работ'!B:R,17,)</f>
        <v>0</v>
      </c>
      <c r="J19" s="38" t="s">
        <v>363</v>
      </c>
      <c r="K19" s="164">
        <v>2.29</v>
      </c>
      <c r="L19" s="33">
        <f>(N19+O19)*0.04</f>
        <v>133837.48614068</v>
      </c>
      <c r="M19" s="33">
        <v>0</v>
      </c>
      <c r="N19" s="34">
        <f t="shared" si="4"/>
        <v>3345937.1535170004</v>
      </c>
      <c r="O19" s="34">
        <f t="shared" si="2"/>
        <v>0</v>
      </c>
      <c r="P19" s="34">
        <f t="shared" ref="P19:P23" si="6">SUM(L19:O19)</f>
        <v>3479774.6396576804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340</v>
      </c>
      <c r="K20" s="154">
        <v>0</v>
      </c>
      <c r="L20" s="33">
        <f>(N20+O20)*0.04</f>
        <v>0</v>
      </c>
      <c r="M20" s="33">
        <f t="shared" si="1"/>
        <v>0</v>
      </c>
      <c r="N20" s="34">
        <f t="shared" si="4"/>
        <v>0</v>
      </c>
      <c r="O20" s="34">
        <f t="shared" si="2"/>
        <v>0</v>
      </c>
      <c r="P20" s="34">
        <f t="shared" si="6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340</v>
      </c>
      <c r="K21" s="154">
        <v>0</v>
      </c>
      <c r="L21" s="33">
        <f>(N21+O21)*0.04</f>
        <v>0</v>
      </c>
      <c r="M21" s="33">
        <f t="shared" si="1"/>
        <v>0</v>
      </c>
      <c r="N21" s="34">
        <f t="shared" si="4"/>
        <v>0</v>
      </c>
      <c r="O21" s="34">
        <f t="shared" si="2"/>
        <v>0</v>
      </c>
      <c r="P21" s="34">
        <f t="shared" si="6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340</v>
      </c>
      <c r="K22" s="154">
        <v>0</v>
      </c>
      <c r="L22" s="33">
        <f t="shared" si="3"/>
        <v>0</v>
      </c>
      <c r="M22" s="33">
        <f t="shared" si="1"/>
        <v>0</v>
      </c>
      <c r="N22" s="34">
        <f t="shared" si="4"/>
        <v>0</v>
      </c>
      <c r="O22" s="34">
        <f t="shared" si="2"/>
        <v>0</v>
      </c>
      <c r="P22" s="34">
        <f t="shared" si="6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340</v>
      </c>
      <c r="K23" s="140">
        <v>0</v>
      </c>
      <c r="L23" s="33">
        <f t="shared" si="3"/>
        <v>0</v>
      </c>
      <c r="M23" s="33">
        <f t="shared" si="1"/>
        <v>0</v>
      </c>
      <c r="N23" s="34">
        <f t="shared" si="4"/>
        <v>0</v>
      </c>
      <c r="O23" s="34">
        <f t="shared" si="2"/>
        <v>0</v>
      </c>
      <c r="P23" s="34">
        <f t="shared" si="6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3"/>
        <v>0</v>
      </c>
      <c r="M24" s="33">
        <f t="shared" si="1"/>
        <v>0</v>
      </c>
      <c r="N24" s="34">
        <f t="shared" ref="N24:N28" si="7">K24*H24</f>
        <v>0</v>
      </c>
      <c r="O24" s="34">
        <f t="shared" si="2"/>
        <v>0</v>
      </c>
      <c r="P24" s="34">
        <f t="shared" ref="P24:P28" si="8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3"/>
        <v>0</v>
      </c>
      <c r="M25" s="33">
        <f t="shared" si="1"/>
        <v>0</v>
      </c>
      <c r="N25" s="34">
        <f t="shared" si="7"/>
        <v>0</v>
      </c>
      <c r="O25" s="34">
        <f t="shared" si="2"/>
        <v>0</v>
      </c>
      <c r="P25" s="34">
        <f t="shared" si="8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3"/>
        <v>0</v>
      </c>
      <c r="M26" s="33">
        <f t="shared" si="1"/>
        <v>0</v>
      </c>
      <c r="N26" s="34">
        <f t="shared" si="7"/>
        <v>0</v>
      </c>
      <c r="O26" s="34">
        <f t="shared" si="2"/>
        <v>0</v>
      </c>
      <c r="P26" s="34">
        <f t="shared" si="8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3"/>
        <v>0</v>
      </c>
      <c r="M27" s="33">
        <f t="shared" si="1"/>
        <v>0</v>
      </c>
      <c r="N27" s="34">
        <f t="shared" si="7"/>
        <v>0</v>
      </c>
      <c r="O27" s="34">
        <f t="shared" si="2"/>
        <v>0</v>
      </c>
      <c r="P27" s="34">
        <f t="shared" si="8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3"/>
        <v>0</v>
      </c>
      <c r="M28" s="33">
        <f t="shared" si="1"/>
        <v>0</v>
      </c>
      <c r="N28" s="34">
        <f t="shared" si="7"/>
        <v>0</v>
      </c>
      <c r="O28" s="34">
        <f t="shared" si="2"/>
        <v>0</v>
      </c>
      <c r="P28" s="34">
        <f t="shared" si="8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3"/>
        <v>0</v>
      </c>
      <c r="M29" s="33">
        <f t="shared" si="1"/>
        <v>0</v>
      </c>
      <c r="N29" s="34">
        <f t="shared" si="4"/>
        <v>0</v>
      </c>
      <c r="O29" s="34">
        <f t="shared" si="2"/>
        <v>0</v>
      </c>
      <c r="P29" s="34">
        <f t="shared" ref="P29" si="9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6" t="s">
        <v>317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8"/>
      <c r="P30" s="34">
        <f>SUM(M16:M29)</f>
        <v>352047</v>
      </c>
    </row>
    <row r="31" spans="1:22" ht="16.5" customHeight="1" x14ac:dyDescent="0.25">
      <c r="A31" s="141"/>
      <c r="B31" s="186" t="s">
        <v>2</v>
      </c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8"/>
      <c r="P31" s="35">
        <f>SUM(N16:N29)</f>
        <v>11325776.539678998</v>
      </c>
    </row>
    <row r="32" spans="1:22" ht="16.5" customHeight="1" x14ac:dyDescent="0.25">
      <c r="A32" s="141"/>
      <c r="B32" s="186" t="s">
        <v>3</v>
      </c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8"/>
      <c r="P32" s="35">
        <f>SUM(O16:O29)</f>
        <v>0</v>
      </c>
    </row>
    <row r="33" spans="1:21" ht="16.5" customHeight="1" x14ac:dyDescent="0.25">
      <c r="A33" s="141"/>
      <c r="B33" s="186" t="s">
        <v>346</v>
      </c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8"/>
      <c r="P33" s="35">
        <f>SUM(L16:L29)</f>
        <v>461266.02810715989</v>
      </c>
      <c r="Q33" s="32"/>
      <c r="R33" s="32"/>
    </row>
    <row r="34" spans="1:21" ht="16.5" customHeight="1" x14ac:dyDescent="0.25">
      <c r="A34" s="141"/>
      <c r="B34" s="167" t="s">
        <v>12</v>
      </c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9"/>
      <c r="P34" s="34">
        <f>SUM(P30:P33)</f>
        <v>12139089.567786159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72" t="s">
        <v>0</v>
      </c>
      <c r="C38" s="172"/>
      <c r="D38" s="172"/>
      <c r="E38" s="172"/>
      <c r="F38" s="174" t="s">
        <v>337</v>
      </c>
      <c r="G38" s="174"/>
      <c r="H38" s="175"/>
      <c r="I38" s="180" t="s">
        <v>352</v>
      </c>
      <c r="J38" s="181"/>
      <c r="K38" s="170" t="s">
        <v>338</v>
      </c>
      <c r="L38" s="170"/>
      <c r="M38" s="170" t="s">
        <v>339</v>
      </c>
      <c r="N38" s="170"/>
      <c r="O38" s="158"/>
      <c r="P38" s="165"/>
      <c r="Q38" s="147"/>
      <c r="R38" s="147"/>
      <c r="S38" s="22"/>
      <c r="T38" s="22"/>
      <c r="U38" s="22"/>
    </row>
    <row r="39" spans="1:21" ht="16.5" customHeight="1" x14ac:dyDescent="0.25">
      <c r="A39" s="23">
        <v>1</v>
      </c>
      <c r="B39" s="173" t="s">
        <v>319</v>
      </c>
      <c r="C39" s="173"/>
      <c r="D39" s="173"/>
      <c r="E39" s="173"/>
      <c r="F39" s="176">
        <f>P33+P30</f>
        <v>813313.02810715989</v>
      </c>
      <c r="G39" s="176"/>
      <c r="H39" s="177"/>
      <c r="I39" s="182">
        <f>VLOOKUP(H9,O39:P46,2,)</f>
        <v>1.1457783975918339</v>
      </c>
      <c r="J39" s="183"/>
      <c r="K39" s="171">
        <f>F39*$I$39</f>
        <v>931876.49808518379</v>
      </c>
      <c r="L39" s="171"/>
      <c r="M39" s="171">
        <f>K39*1.2</f>
        <v>1118251.7977022205</v>
      </c>
      <c r="N39" s="171"/>
      <c r="O39" s="145" t="s">
        <v>74</v>
      </c>
      <c r="P39" s="146">
        <v>1.147</v>
      </c>
      <c r="Q39" s="148"/>
      <c r="R39" s="148"/>
      <c r="S39" s="22"/>
      <c r="T39" s="22"/>
      <c r="U39" s="22"/>
    </row>
    <row r="40" spans="1:21" ht="16.5" customHeight="1" x14ac:dyDescent="0.25">
      <c r="A40" s="23">
        <v>2</v>
      </c>
      <c r="B40" s="173" t="s">
        <v>2</v>
      </c>
      <c r="C40" s="173"/>
      <c r="D40" s="173"/>
      <c r="E40" s="173"/>
      <c r="F40" s="178">
        <f>P31</f>
        <v>11325776.539678998</v>
      </c>
      <c r="G40" s="178"/>
      <c r="H40" s="179"/>
      <c r="I40" s="184"/>
      <c r="J40" s="185"/>
      <c r="K40" s="171">
        <f t="shared" ref="K40:K41" si="10">F40*$I$39</f>
        <v>12976830.095116587</v>
      </c>
      <c r="L40" s="171"/>
      <c r="M40" s="171">
        <f>K40*1.2</f>
        <v>15572196.114139903</v>
      </c>
      <c r="N40" s="171"/>
      <c r="O40" s="145" t="s">
        <v>75</v>
      </c>
      <c r="P40" s="146">
        <v>1.06968874824043</v>
      </c>
      <c r="Q40" s="148"/>
      <c r="R40" s="148"/>
      <c r="S40" s="22"/>
      <c r="T40" s="22"/>
      <c r="U40" s="22"/>
    </row>
    <row r="41" spans="1:21" ht="16.5" customHeight="1" x14ac:dyDescent="0.25">
      <c r="A41" s="23">
        <v>3</v>
      </c>
      <c r="B41" s="173" t="s">
        <v>3</v>
      </c>
      <c r="C41" s="173"/>
      <c r="D41" s="173"/>
      <c r="E41" s="173"/>
      <c r="F41" s="178">
        <f>P32</f>
        <v>0</v>
      </c>
      <c r="G41" s="178"/>
      <c r="H41" s="179"/>
      <c r="I41" s="184"/>
      <c r="J41" s="185"/>
      <c r="K41" s="171">
        <f t="shared" si="10"/>
        <v>0</v>
      </c>
      <c r="L41" s="171"/>
      <c r="M41" s="171">
        <f t="shared" ref="M41" si="11">K41*1.2</f>
        <v>0</v>
      </c>
      <c r="N41" s="171"/>
      <c r="O41" s="145" t="s">
        <v>76</v>
      </c>
      <c r="P41" s="146">
        <v>1.0527260918901</v>
      </c>
      <c r="Q41" s="148"/>
      <c r="R41" s="148"/>
      <c r="S41" s="22"/>
      <c r="T41" s="22"/>
      <c r="U41" s="22"/>
    </row>
    <row r="42" spans="1:21" ht="16.5" customHeight="1" x14ac:dyDescent="0.25">
      <c r="A42" s="23">
        <v>4</v>
      </c>
      <c r="B42" s="173" t="s">
        <v>4</v>
      </c>
      <c r="C42" s="173"/>
      <c r="D42" s="173"/>
      <c r="E42" s="173"/>
      <c r="F42" s="178"/>
      <c r="G42" s="178"/>
      <c r="H42" s="179"/>
      <c r="I42" s="184"/>
      <c r="J42" s="185"/>
      <c r="K42" s="198">
        <f>SUM(F43:H45)*$I$39</f>
        <v>2856848.3342436436</v>
      </c>
      <c r="L42" s="199"/>
      <c r="M42" s="198">
        <f>K42*1.2</f>
        <v>3428218.001092372</v>
      </c>
      <c r="N42" s="199"/>
      <c r="O42" s="145" t="s">
        <v>77</v>
      </c>
      <c r="P42" s="146">
        <v>1.04761984318213</v>
      </c>
      <c r="Q42" s="148"/>
      <c r="R42" s="148"/>
      <c r="S42" s="22"/>
      <c r="T42" s="22"/>
      <c r="U42" s="22"/>
    </row>
    <row r="43" spans="1:21" ht="15.75" customHeight="1" x14ac:dyDescent="0.25">
      <c r="A43" s="137" t="s">
        <v>78</v>
      </c>
      <c r="B43" s="204" t="s">
        <v>354</v>
      </c>
      <c r="C43" s="204"/>
      <c r="D43" s="204"/>
      <c r="E43" s="204"/>
      <c r="F43" s="202">
        <f>SUM(F39:H41)/100*P49</f>
        <v>259776.51675062379</v>
      </c>
      <c r="G43" s="202"/>
      <c r="H43" s="203"/>
      <c r="I43" s="184"/>
      <c r="J43" s="185"/>
      <c r="K43" s="200"/>
      <c r="L43" s="201"/>
      <c r="M43" s="200"/>
      <c r="N43" s="201"/>
      <c r="O43" s="159" t="s">
        <v>357</v>
      </c>
      <c r="P43" s="146">
        <f>1.0457995653007*P42</f>
        <v>1.0956003766002589</v>
      </c>
      <c r="Q43" s="148"/>
      <c r="R43" s="156"/>
      <c r="S43" s="22"/>
      <c r="T43" s="22"/>
      <c r="U43" s="22"/>
    </row>
    <row r="44" spans="1:21" ht="15.75" customHeight="1" x14ac:dyDescent="0.25">
      <c r="A44" s="137" t="s">
        <v>79</v>
      </c>
      <c r="B44" s="204" t="s">
        <v>356</v>
      </c>
      <c r="C44" s="204"/>
      <c r="D44" s="204"/>
      <c r="E44" s="204"/>
      <c r="F44" s="202">
        <f>SUM(F39:H41)/100*P50</f>
        <v>1420273.4794309805</v>
      </c>
      <c r="G44" s="202"/>
      <c r="H44" s="203"/>
      <c r="I44" s="184"/>
      <c r="J44" s="185"/>
      <c r="K44" s="200"/>
      <c r="L44" s="201"/>
      <c r="M44" s="200"/>
      <c r="N44" s="201"/>
      <c r="O44" s="159" t="s">
        <v>358</v>
      </c>
      <c r="P44" s="146">
        <f>1.0457995653007*P43</f>
        <v>1.1457783975918339</v>
      </c>
      <c r="Q44" s="148"/>
      <c r="R44" s="156"/>
      <c r="S44" s="22"/>
      <c r="T44" s="22"/>
      <c r="U44" s="22"/>
    </row>
    <row r="45" spans="1:21" ht="15.75" customHeight="1" x14ac:dyDescent="0.25">
      <c r="A45" s="137" t="s">
        <v>80</v>
      </c>
      <c r="B45" s="205" t="s">
        <v>355</v>
      </c>
      <c r="C45" s="205"/>
      <c r="D45" s="205"/>
      <c r="E45" s="205"/>
      <c r="F45" s="202">
        <f>SUM(F39:H41)/100*P51</f>
        <v>813319.00104167266</v>
      </c>
      <c r="G45" s="202"/>
      <c r="H45" s="203"/>
      <c r="I45" s="184"/>
      <c r="J45" s="185"/>
      <c r="K45" s="200"/>
      <c r="L45" s="201"/>
      <c r="M45" s="200"/>
      <c r="N45" s="201"/>
      <c r="O45" s="159" t="s">
        <v>359</v>
      </c>
      <c r="P45" s="146">
        <f>1.0457995653007*P44</f>
        <v>1.1982545501324724</v>
      </c>
      <c r="Q45" s="148"/>
      <c r="R45" s="156"/>
      <c r="S45" s="22"/>
      <c r="T45" s="22"/>
      <c r="U45" s="22"/>
    </row>
    <row r="46" spans="1:21" ht="14.25" customHeight="1" x14ac:dyDescent="0.25">
      <c r="A46" s="206" t="s">
        <v>81</v>
      </c>
      <c r="B46" s="206"/>
      <c r="C46" s="206"/>
      <c r="D46" s="206"/>
      <c r="E46" s="206"/>
      <c r="F46" s="197">
        <f>SUM(F39:H45)</f>
        <v>14632458.565009438</v>
      </c>
      <c r="G46" s="197"/>
      <c r="H46" s="197"/>
      <c r="I46" s="197"/>
      <c r="J46" s="197"/>
      <c r="K46" s="196">
        <f>SUM(K39:L45)</f>
        <v>16765554.927445415</v>
      </c>
      <c r="L46" s="196"/>
      <c r="M46" s="196">
        <f>SUM(M39:N45)</f>
        <v>20118665.912934497</v>
      </c>
      <c r="N46" s="196"/>
      <c r="O46" s="159" t="s">
        <v>360</v>
      </c>
      <c r="P46" s="146">
        <f>1.0457995653007*P45</f>
        <v>1.2531340876481254</v>
      </c>
      <c r="Q46" s="149"/>
      <c r="R46" s="157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9"/>
      <c r="P47" s="160"/>
      <c r="Q47" s="150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9"/>
      <c r="P48" s="161"/>
      <c r="Q48" s="151"/>
      <c r="R48" s="55"/>
      <c r="S48" s="46"/>
      <c r="T48" s="47"/>
      <c r="U48" s="56"/>
    </row>
    <row r="49" spans="1:21" s="26" customFormat="1" ht="39.75" customHeight="1" x14ac:dyDescent="0.25">
      <c r="A49" s="64"/>
      <c r="B49" s="195" t="s">
        <v>342</v>
      </c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59"/>
      <c r="P49" s="152">
        <v>2.14</v>
      </c>
      <c r="Q49" s="151"/>
      <c r="R49" s="55"/>
      <c r="S49" s="46"/>
      <c r="T49" s="47"/>
      <c r="U49" s="56"/>
    </row>
    <row r="50" spans="1:21" s="26" customFormat="1" ht="28.5" customHeight="1" x14ac:dyDescent="0.25">
      <c r="A50" s="64"/>
      <c r="B50" s="195" t="s">
        <v>345</v>
      </c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59"/>
      <c r="P50" s="152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4" t="s">
        <v>343</v>
      </c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59"/>
      <c r="P51" s="153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4" t="s">
        <v>344</v>
      </c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59"/>
      <c r="P52" s="161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="110" zoomScaleNormal="100" zoomScaleSheetLayoutView="110" workbookViewId="0">
      <pane ySplit="1" topLeftCell="A2" activePane="bottomLeft" state="frozen"/>
      <selection pane="bottomLeft" activeCell="G312" sqref="G312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hidden="1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hidden="1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hidden="1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hidden="1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hidden="1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hidden="1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hidden="1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hidden="1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hidden="1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hidden="1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hidden="1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hidden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hidden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hidden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hidden="1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hidden="1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hidden="1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hidden="1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hidden="1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hidden="1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hidden="1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hidden="1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hidden="1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hidden="1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hidden="1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hidden="1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hidden="1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hidden="1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hidden="1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hidden="1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hidden="1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hidden="1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hidden="1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hidden="1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hidden="1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hidden="1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hidden="1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hidden="1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hidden="1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hidden="1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hidden="1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hidden="1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hidden="1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hidden="1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hidden="1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hidden="1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hidden="1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hidden="1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hidden="1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hidden="1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hidden="1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hidden="1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hidden="1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hidden="1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hidden="1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hidden="1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hidden="1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hidden="1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hidden="1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hidden="1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hidden="1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hidden="1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hidden="1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hidden="1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hidden="1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hidden="1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hidden="1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hidden="1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hidden="1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hidden="1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hidden="1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hidden="1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hidden="1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hidden="1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hidden="1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hidden="1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hidden="1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hidden="1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hidden="1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hidden="1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hidden="1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hidden="1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t="22.5" hidden="1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hidden="1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hidden="1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hidden="1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hidden="1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hidden="1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hidden="1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hidden="1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hidden="1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hidden="1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hidden="1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hidden="1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hidden="1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hidden="1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hidden="1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hidden="1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hidden="1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t="22.5" hidden="1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hidden="1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hidden="1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hidden="1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hidden="1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hidden="1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hidden="1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t="22.5" hidden="1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hidden="1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hidden="1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hidden="1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hidden="1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hidden="1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hidden="1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hidden="1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hidden="1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hidden="1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hidden="1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hidden="1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hidden="1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hidden="1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hidden="1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Вырубка просеки (1 га)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2024-01-09T10:46:31Z</dcterms:modified>
</cp:coreProperties>
</file>